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https://jqldorado-my.sharepoint.com/personal/qa_jqltechnologies_com/Documents/"/>
    </mc:Choice>
  </mc:AlternateContent>
  <xr:revisionPtr revIDLastSave="2" documentId="8_{5E882F80-38B2-4033-BD75-557531153BDF}" xr6:coauthVersionLast="47" xr6:coauthVersionMax="47" xr10:uidLastSave="{3C6CCA05-7B9F-4192-8E87-660E2EF0E2DA}"/>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V6" i="5"/>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H10" i="5"/>
  <c r="H13" i="5"/>
  <c r="R13" i="5"/>
  <c r="I13" i="5"/>
  <c r="F13" i="5"/>
  <c r="H7" i="5"/>
  <c r="R7" i="5"/>
  <c r="F7" i="5"/>
  <c r="I7" i="5"/>
  <c r="H17" i="5"/>
  <c r="I17" i="5"/>
  <c r="J17" i="5"/>
  <c r="R17" i="5"/>
  <c r="F17" i="5"/>
  <c r="G66" i="6"/>
  <c r="H66" i="6"/>
  <c r="C66" i="6"/>
  <c r="G67" i="6"/>
  <c r="H67" i="6"/>
  <c r="D67" i="6"/>
  <c r="G65" i="6"/>
  <c r="H65" i="6"/>
  <c r="C65" i="6"/>
  <c r="I12" i="5"/>
  <c r="R12" i="5"/>
  <c r="F12" i="5"/>
  <c r="H12" i="5"/>
  <c r="H9" i="5"/>
  <c r="I9" i="5"/>
  <c r="R9" i="5"/>
  <c r="F9" i="5"/>
  <c r="R8" i="5"/>
  <c r="H8" i="5"/>
  <c r="I8" i="5"/>
  <c r="F8" i="5"/>
  <c r="H15" i="5"/>
  <c r="J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6"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<sst xmlns="http://schemas.openxmlformats.org/spreadsheetml/2006/main" count="22534" uniqueCount="15867">
  <si>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</si>
  <si>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</si>
  <si>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</si>
  <si>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</si>
  <si>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</si>
  <si>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</si>
  <si>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</si>
  <si>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</si>
  <si>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</si>
  <si>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</si>
  <si>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</si>
  <si>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</si>
  <si>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</si>
  <si>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</si>
  <si>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</si>
  <si>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</si>
  <si>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</si>
  <si>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</si>
  <si>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</si>
  <si>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</si>
  <si>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</si>
  <si>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</si>
  <si>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</si>
  <si>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</si>
  <si>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</si>
  <si>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</si>
  <si>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</si>
  <si>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</si>
  <si>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</si>
  <si>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</si>
  <si>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</si>
  <si>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</si>
  <si>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</si>
  <si>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</si>
  <si>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</si>
  <si>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</si>
  <si>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</si>
  <si>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</si>
  <si>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</si>
  <si>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</si>
  <si>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</si>
  <si>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</si>
  <si>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</si>
  <si>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</si>
  <si>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</si>
  <si>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</si>
  <si>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</si>
  <si>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</si>
  <si>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</si>
  <si>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</si>
  <si>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</si>
  <si>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</si>
  <si>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</si>
  <si>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</si>
  <si>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</si>
  <si>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</si>
  <si>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</si>
  <si>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</si>
  <si>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</si>
  <si>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</si>
  <si>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</si>
  <si>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</si>
  <si>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</si>
  <si>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</si>
  <si>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</si>
  <si>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</si>
  <si>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</si>
  <si>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</si>
  <si>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</si>
  <si>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</si>
  <si>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</si>
  <si>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</si>
  <si>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</si>
  <si>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</si>
  <si>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</si>
  <si>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</si>
  <si>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</si>
  <si>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</si>
  <si>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</si>
  <si>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</si>
  <si>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</si>
  <si>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</si>
  <si>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</si>
  <si>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</si>
  <si>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</si>
  <si>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</si>
  <si>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</si>
  <si>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</si>
  <si>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</si>
  <si>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</si>
  <si>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</si>
  <si>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</si>
  <si>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</si>
  <si>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</si>
  <si>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</si>
  <si>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</si>
  <si>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</si>
  <si>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</si>
  <si>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</si>
  <si>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</si>
  <si>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</si>
  <si>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</si>
  <si>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</si>
  <si>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</si>
  <si>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</si>
  <si>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</si>
  <si>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</si>
  <si>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</si>
  <si>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</si>
  <si>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</si>
  <si>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</si>
  <si>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</si>
  <si>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</si>
  <si>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</si>
  <si>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</si>
  <si>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</si>
  <si>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</si>
  <si>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</si>
  <si>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</si>
  <si>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</si>
  <si>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</si>
  <si>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</si>
  <si>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</si>
  <si>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</si>
  <si>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</si>
  <si>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</si>
  <si>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</si>
  <si>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</si>
  <si>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</si>
  <si>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</si>
  <si>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</si>
  <si>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</si>
  <si>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</si>
  <si>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</si>
  <si>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</si>
  <si>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</si>
  <si>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</si>
  <si>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</si>
  <si>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</si>
  <si>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</si>
  <si>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</si>
  <si>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</si>
  <si>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</si>
  <si>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</si>
  <si>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</si>
  <si>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</si>
  <si>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</si>
  <si>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</si>
  <si>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</si>
  <si>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</si>
  <si>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</si>
  <si>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</si>
  <si>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</si>
  <si>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</si>
  <si>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</si>
  <si>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</si>
  <si>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</si>
  <si>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</si>
  <si>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</si>
  <si>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</si>
  <si>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</si>
  <si>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</si>
  <si>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</si>
  <si>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</si>
  <si>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</si>
  <si>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</si>
  <si>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</si>
  <si>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</si>
  <si>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</si>
  <si>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</si>
  <si>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</si>
  <si>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</si>
  <si>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</si>
  <si>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</si>
  <si>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</si>
  <si>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</si>
  <si>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</si>
  <si>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</si>
  <si>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</si>
  <si>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</si>
  <si>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</si>
  <si>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</si>
  <si>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</si>
  <si>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</si>
  <si>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</si>
  <si>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</si>
  <si>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</si>
  <si>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</si>
  <si>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</si>
  <si>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</si>
  <si>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</si>
  <si>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</si>
  <si>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</si>
  <si>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</si>
  <si>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</si>
  <si>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</si>
  <si>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</si>
  <si>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</si>
  <si>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</si>
  <si>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</si>
  <si>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</si>
  <si>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</si>
  <si>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</si>
  <si>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</si>
  <si>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</si>
  <si>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</si>
  <si>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</si>
  <si>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</si>
  <si>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</si>
  <si>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</si>
  <si>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</si>
  <si>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</si>
  <si>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</si>
  <si>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</si>
  <si>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</si>
  <si>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</si>
  <si>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</si>
  <si>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</si>
  <si>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</si>
  <si>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</si>
  <si>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</si>
  <si>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</si>
  <si>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</si>
  <si>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</si>
  <si>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</si>
  <si>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</si>
  <si>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</si>
  <si>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</si>
  <si>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</si>
  <si>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</si>
  <si>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</si>
  <si>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</si>
  <si>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</si>
  <si>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</si>
  <si>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</si>
  <si>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</si>
  <si>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</si>
  <si>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</si>
  <si>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</si>
  <si>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</si>
  <si>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</si>
  <si>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</si>
  <si>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</si>
  <si>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</si>
  <si>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</si>
  <si>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</si>
  <si>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</si>
  <si>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</si>
  <si>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</si>
  <si>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</si>
  <si>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</si>
  <si>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</si>
  <si>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</si>
  <si>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</si>
  <si>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</si>
  <si>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</si>
  <si>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</si>
  <si>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</si>
  <si>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</si>
  <si>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</si>
  <si>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</si>
  <si>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</si>
  <si>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</si>
  <si>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</si>
  <si>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</si>
  <si>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</si>
  <si>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</si>
  <si>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</si>
  <si>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</si>
  <si>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</si>
  <si>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</si>
  <si>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</si>
  <si>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</si>
  <si>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</si>
  <si>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</si>
  <si>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</si>
  <si>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</si>
  <si>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</si>
  <si>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</si>
  <si>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</si>
  <si>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</si>
  <si>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</si>
  <si>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</si>
  <si>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</si>
  <si>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</si>
  <si>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</si>
  <si>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</si>
  <si>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</si>
  <si>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</si>
  <si>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</si>
  <si>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</si>
  <si>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</si>
  <si>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</si>
  <si>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</si>
  <si>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</si>
  <si>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</si>
  <si>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</si>
  <si>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</si>
  <si>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</si>
  <si>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</si>
  <si>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</si>
  <si>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</si>
  <si>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</si>
  <si>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</si>
  <si>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</si>
  <si>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</si>
  <si>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</si>
  <si>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</si>
  <si>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</si>
  <si>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</si>
  <si>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</si>
  <si>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</si>
  <si>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</si>
  <si>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</si>
  <si>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</si>
  <si>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</si>
  <si>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</si>
  <si>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</si>
  <si>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</si>
  <si>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</si>
  <si>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</si>
  <si>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</si>
  <si>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</si>
  <si>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</si>
  <si>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</si>
  <si>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</si>
  <si>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</si>
  <si>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</si>
  <si>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</si>
  <si>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</si>
  <si>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</si>
  <si>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</si>
  <si>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</si>
  <si>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</si>
  <si>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</si>
  <si>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</si>
  <si>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</si>
  <si>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</si>
  <si>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</si>
  <si>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</si>
  <si>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</si>
  <si>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</si>
  <si>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</si>
  <si>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</si>
  <si>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</si>
  <si>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</si>
  <si>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</si>
  <si>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</si>
  <si>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</si>
  <si>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</si>
  <si>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</si>
  <si>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</si>
  <si>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</si>
  <si>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</si>
  <si>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</si>
  <si>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</si>
  <si>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</si>
  <si>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</si>
  <si>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</si>
  <si>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</si>
  <si>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</si>
  <si>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</si>
  <si>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</si>
  <si>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</si>
  <si>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</si>
  <si>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</si>
  <si>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</si>
  <si>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</si>
  <si>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</si>
  <si>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</si>
  <si>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</si>
  <si>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</si>
  <si>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</si>
  <si>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</si>
  <si>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</si>
  <si>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</si>
  <si>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</si>
  <si>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</si>
  <si>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</si>
  <si>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</si>
  <si>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</si>
  <si>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</si>
  <si>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</si>
  <si>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</si>
  <si>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</si>
  <si>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</si>
  <si>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</si>
  <si>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</si>
  <si>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</si>
  <si>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</si>
  <si>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</si>
  <si>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</si>
  <si>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</si>
  <si>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</si>
  <si>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</si>
  <si>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</si>
  <si>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</si>
  <si>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</si>
  <si>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</si>
  <si>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</si>
  <si>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</si>
  <si>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</si>
  <si>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</si>
  <si>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</si>
  <si>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</si>
  <si>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</si>
  <si>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</si>
  <si>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</si>
  <si>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</si>
  <si>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</si>
  <si>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</si>
  <si>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</si>
  <si>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</si>
  <si>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</si>
  <si>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</si>
  <si>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</si>
  <si>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</si>
  <si>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</si>
  <si>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</si>
  <si>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</si>
  <si>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</si>
  <si>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</si>
  <si>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</si>
  <si>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</si>
  <si>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</si>
  <si>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</si>
  <si>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</si>
  <si>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</si>
  <si>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</si>
  <si>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</si>
  <si>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</si>
  <si>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</si>
  <si>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</si>
  <si>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</si>
  <si>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</si>
  <si>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</si>
  <si>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</si>
  <si>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</si>
  <si>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</si>
  <si>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</si>
  <si>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</si>
  <si>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</si>
  <si>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</si>
  <si>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</si>
  <si>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</si>
  <si>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</si>
  <si>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</si>
  <si>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</si>
  <si>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</si>
  <si>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</si>
  <si>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</si>
  <si>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</si>
  <si>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</si>
  <si>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</si>
  <si>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</si>
  <si>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</si>
  <si>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</si>
  <si>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</si>
  <si>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</si>
  <si>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</si>
  <si>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</si>
  <si>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</si>
  <si>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</si>
  <si>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</si>
  <si>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</si>
  <si>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</si>
  <si>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</si>
  <si>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</si>
  <si>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</si>
  <si>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</si>
  <si>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</si>
  <si>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</si>
  <si>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</si>
  <si>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</si>
  <si>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</si>
  <si>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</si>
  <si>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</si>
  <si>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</si>
  <si>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</si>
  <si>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</si>
  <si>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</si>
  <si>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</si>
  <si>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</si>
  <si>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</si>
  <si>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</si>
  <si>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</si>
  <si>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</si>
  <si>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</si>
  <si>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</si>
  <si>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</si>
  <si>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</si>
  <si>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</si>
  <si>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</si>
  <si>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</si>
  <si>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</si>
  <si>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</si>
  <si>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</si>
  <si>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</si>
  <si>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</si>
  <si>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</si>
  <si>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</si>
  <si>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</si>
  <si>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</si>
  <si>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</si>
  <si>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</si>
  <si>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</si>
  <si>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</si>
  <si>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</si>
  <si>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</si>
  <si>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</si>
  <si>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</si>
  <si>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</si>
  <si>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</si>
  <si>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</si>
  <si>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</si>
  <si>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</si>
  <si>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</si>
  <si>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</si>
  <si>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</si>
  <si>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</si>
  <si>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</si>
  <si>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</si>
  <si>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</si>
  <si>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</si>
  <si>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</si>
  <si>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</si>
  <si>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</si>
  <si>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</si>
  <si>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</si>
  <si>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</si>
  <si>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</si>
  <si>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</si>
  <si>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</si>
  <si>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</si>
  <si>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</si>
  <si>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</si>
  <si>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</si>
  <si>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</si>
  <si>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</si>
  <si>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</si>
  <si>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</si>
  <si>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</si>
  <si>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</si>
  <si>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</si>
  <si>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</si>
  <si>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</si>
  <si>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</si>
  <si>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</si>
  <si>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</si>
  <si>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</si>
  <si>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</si>
  <si>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</si>
  <si>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</si>
  <si>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</si>
  <si>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</si>
  <si>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</si>
  <si>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</si>
  <si>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</si>
  <si>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</si>
  <si>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</si>
  <si>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</si>
  <si>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</si>
  <si>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</si>
  <si>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</si>
  <si>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</si>
  <si>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</si>
  <si>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</si>
  <si>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</si>
  <si>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</si>
  <si>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</si>
  <si>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</si>
  <si>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</si>
  <si>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</si>
  <si>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</si>
  <si>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</si>
  <si>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</si>
  <si>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</si>
  <si>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</si>
  <si>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</si>
  <si>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</si>
  <si>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</si>
  <si>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</si>
  <si>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</si>
  <si>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</si>
  <si>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</si>
  <si>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</si>
  <si>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</si>
  <si>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</si>
  <si>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</si>
  <si>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</si>
  <si>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</si>
  <si>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</si>
  <si>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</si>
  <si>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</si>
  <si>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</si>
  <si>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</si>
  <si>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</si>
  <si>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</si>
  <si>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</si>
  <si>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</si>
  <si>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</si>
  <si>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</si>
  <si>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</si>
  <si>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</si>
  <si>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</si>
  <si>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</si>
  <si>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</si>
  <si>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</si>
  <si>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</si>
  <si>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</si>
  <si>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</si>
  <si>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</si>
  <si>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</si>
  <si>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</si>
  <si>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</si>
  <si>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</si>
  <si>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</si>
  <si>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</si>
  <si>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</si>
  <si>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</si>
  <si>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</si>
  <si>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</si>
  <si>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</si>
  <si>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</si>
  <si>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</si>
  <si>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</si>
  <si>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</si>
  <si>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</si>
  <si>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</si>
  <si>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</si>
  <si>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</si>
  <si>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</si>
  <si>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</si>
  <si>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</si>
  <si>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</si>
  <si>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</si>
  <si>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</si>
  <si>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</si>
  <si>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</si>
  <si>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</si>
  <si>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</si>
  <si>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</si>
  <si>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</si>
  <si>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</si>
  <si>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</si>
  <si>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</si>
  <si>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</si>
  <si>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</si>
  <si>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</si>
  <si>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</si>
  <si>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</si>
  <si>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</si>
  <si>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</si>
  <si>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</si>
  <si>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</si>
  <si>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</si>
  <si>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</si>
  <si>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</si>
  <si>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</si>
  <si>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</si>
  <si>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</si>
  <si>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</si>
  <si>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</si>
  <si>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</si>
  <si>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</si>
  <si>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</si>
  <si>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</si>
  <si>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</si>
  <si>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</si>
  <si>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</si>
  <si>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</si>
  <si>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</si>
  <si>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</si>
  <si>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</si>
  <si>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</si>
  <si>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</si>
  <si>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</si>
  <si>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</si>
  <si>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</si>
  <si>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</si>
  <si>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</si>
  <si>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</si>
  <si>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</si>
  <si>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</si>
  <si>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</si>
  <si>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</si>
  <si>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</si>
  <si>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</si>
  <si>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</si>
  <si>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</si>
  <si>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</si>
  <si>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</si>
  <si>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</si>
  <si>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</si>
  <si>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</si>
  <si>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</si>
  <si>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</si>
  <si>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</si>
  <si>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</si>
  <si>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</si>
  <si>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</si>
  <si>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</si>
  <si>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</si>
  <si>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</si>
  <si>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</si>
  <si>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</si>
  <si>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</si>
  <si>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</si>
  <si>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</si>
  <si>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</si>
  <si>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</si>
  <si>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</si>
  <si>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</si>
  <si>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</si>
  <si>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</si>
  <si>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</si>
  <si>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</si>
  <si>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</si>
  <si>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</si>
  <si>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</si>
  <si>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</si>
  <si>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</si>
  <si>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</si>
  <si>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</si>
  <si>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</si>
  <si>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</si>
  <si>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</si>
  <si>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</si>
  <si>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</si>
  <si>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</si>
  <si>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</si>
  <si>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</si>
  <si>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</si>
  <si>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</si>
  <si>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</si>
  <si>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</si>
  <si>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</si>
  <si>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</si>
  <si>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</si>
  <si>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</si>
  <si>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</si>
  <si>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</si>
  <si>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</si>
  <si>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</si>
  <si>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</si>
  <si>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</si>
  <si>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</si>
  <si>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</si>
  <si>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</si>
  <si>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</si>
  <si>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</si>
  <si>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</si>
  <si>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</si>
  <si>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</si>
  <si>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</si>
  <si>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</si>
  <si>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</si>
  <si>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</si>
  <si>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</si>
  <si>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</si>
  <si>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</si>
  <si>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</si>
  <si>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</si>
  <si>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</si>
  <si>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</si>
  <si>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</si>
  <si>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</si>
  <si>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</si>
  <si>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</si>
  <si>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</si>
  <si>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</si>
  <si>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</si>
  <si>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</si>
  <si>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</si>
  <si>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</si>
  <si>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</si>
  <si>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</si>
  <si>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</si>
  <si>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</si>
  <si>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</si>
  <si>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</si>
  <si>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</si>
  <si>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</si>
  <si>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</si>
  <si>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</si>
  <si>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</si>
  <si>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</si>
  <si>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</si>
  <si>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</si>
  <si>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</si>
  <si>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</si>
  <si>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</si>
  <si>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</si>
  <si>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</si>
  <si>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</si>
  <si>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</si>
  <si>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</si>
  <si>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</si>
  <si>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</si>
  <si>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</si>
  <si>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</si>
  <si>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</si>
  <si>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</si>
  <si>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</si>
  <si>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</si>
  <si>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</si>
  <si>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</si>
  <si>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</si>
  <si>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</si>
  <si>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</si>
  <si>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</si>
  <si>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</si>
  <si>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</si>
  <si>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</si>
  <si>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</si>
  <si>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</si>
  <si>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</si>
  <si>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</si>
  <si>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</si>
  <si>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</si>
  <si>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</si>
  <si>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</si>
  <si>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</si>
  <si>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</si>
  <si>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</si>
  <si>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</si>
  <si>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</si>
  <si>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</si>
  <si>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</si>
  <si>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</si>
  <si>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</si>
  <si>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</si>
  <si>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</si>
  <si>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</si>
  <si>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</si>
  <si>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</si>
  <si>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</si>
  <si>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</si>
  <si>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</si>
  <si>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</si>
  <si>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</si>
  <si>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</si>
  <si>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</si>
  <si>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</si>
  <si>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</si>
  <si>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</si>
  <si>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</si>
  <si>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</si>
  <si>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</si>
  <si>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</si>
  <si>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</si>
  <si>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</si>
  <si>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</si>
  <si>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</si>
  <si>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</si>
  <si>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</si>
  <si>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</si>
  <si>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</si>
  <si>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</si>
  <si>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</si>
  <si>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</si>
  <si>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</si>
  <si>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</si>
  <si>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</si>
  <si>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</si>
  <si>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</si>
  <si>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</si>
  <si>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</si>
  <si>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</si>
  <si>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</si>
  <si>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</si>
  <si>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</si>
  <si>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</si>
  <si>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</si>
  <si>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</si>
  <si>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</si>
  <si>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</si>
  <si>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</si>
  <si>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</si>
  <si>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</si>
  <si>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</si>
  <si>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</si>
  <si>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</si>
  <si>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</si>
  <si>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</si>
  <si>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</si>
  <si>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</si>
  <si>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</si>
  <si>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</si>
  <si>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</si>
  <si>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</si>
  <si>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</si>
  <si>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</si>
  <si>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</si>
  <si>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</si>
  <si>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</si>
  <si>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</si>
  <si>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</si>
  <si>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</si>
  <si>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</si>
  <si>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</si>
  <si>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</si>
  <si>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</si>
  <si>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</si>
  <si>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</si>
  <si>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</si>
  <si>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</si>
  <si>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</si>
  <si>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</si>
  <si>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</si>
  <si>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</si>
  <si>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</si>
  <si>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</si>
  <si>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</si>
  <si>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</si>
  <si>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</si>
  <si>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</si>
  <si>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</si>
  <si>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</si>
  <si>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</si>
  <si>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</si>
  <si>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</si>
  <si>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</si>
  <si>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</si>
  <si>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</si>
  <si>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</si>
  <si>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</si>
  <si>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</si>
  <si>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</si>
  <si>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</si>
  <si>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</si>
  <si>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</si>
  <si>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</si>
  <si>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</si>
  <si>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</si>
  <si>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</si>
  <si>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</si>
  <si>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</si>
  <si>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</si>
  <si>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</si>
  <si>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</si>
  <si>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</si>
  <si>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</si>
  <si>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</si>
  <si>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</si>
  <si>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</si>
  <si>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</si>
  <si>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</si>
  <si>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</si>
  <si>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</si>
  <si>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</si>
  <si>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</si>
  <si>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</si>
  <si>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</si>
  <si>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</si>
  <si>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</si>
  <si>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</si>
  <si>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</si>
  <si>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</si>
  <si>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</si>
  <si>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</si>
  <si>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</si>
  <si>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</si>
  <si>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</si>
  <si>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</si>
  <si>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</si>
  <si>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</si>
  <si>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</si>
  <si>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</si>
  <si>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</si>
  <si>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</si>
  <si>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</si>
  <si>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</si>
  <si>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</si>
  <si>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</si>
  <si>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</si>
  <si>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</si>
  <si>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</si>
  <si>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</si>
  <si>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</si>
  <si>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</si>
  <si>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</si>
  <si>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</si>
  <si>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</si>
  <si>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</si>
  <si>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</si>
  <si>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</si>
  <si>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</si>
  <si>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</si>
  <si>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</si>
  <si>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</si>
  <si>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</si>
  <si>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</si>
  <si>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</si>
  <si>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</si>
  <si>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</si>
  <si>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</si>
  <si>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</si>
  <si>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</si>
  <si>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</si>
  <si>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</si>
  <si>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</si>
  <si>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</si>
  <si>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</si>
  <si>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</si>
  <si>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</si>
  <si>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</si>
  <si>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</si>
  <si>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</si>
  <si>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</si>
  <si>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</si>
  <si>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</si>
  <si>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</si>
  <si>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</si>
  <si>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</si>
  <si>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</si>
  <si>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</si>
  <si>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</si>
  <si>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</si>
  <si>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</si>
  <si>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</si>
  <si>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</si>
  <si>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</si>
  <si>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</si>
  <si>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</si>
  <si>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</si>
  <si>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</si>
  <si>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</si>
  <si>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</si>
  <si>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</si>
  <si>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</si>
  <si>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</si>
  <si>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</si>
  <si>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</si>
  <si>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</si>
  <si>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</si>
  <si>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</si>
  <si>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</si>
  <si>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</si>
  <si>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</si>
  <si>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</si>
  <si>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</si>
  <si>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</si>
  <si>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</si>
  <si>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</si>
  <si>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</si>
  <si>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</si>
  <si>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</si>
  <si>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</si>
  <si>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</si>
  <si>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</si>
  <si>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</si>
  <si>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</si>
  <si>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</si>
  <si>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</si>
  <si>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</si>
  <si>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</si>
  <si>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</si>
  <si>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</si>
  <si>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</si>
  <si>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</si>
  <si>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</si>
  <si>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</si>
  <si>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</si>
  <si>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</si>
  <si>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</si>
  <si>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</si>
  <si>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</si>
  <si>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</si>
  <si>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</si>
  <si>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</si>
  <si>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</si>
  <si>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</si>
  <si>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</si>
  <si>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</si>
  <si>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</si>
  <si>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</si>
  <si>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</si>
  <si>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</si>
  <si>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</si>
  <si>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</si>
  <si>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</si>
  <si>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</si>
  <si>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</si>
  <si>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</si>
  <si>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</si>
  <si>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</si>
  <si>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</si>
  <si>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</si>
  <si>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</si>
  <si>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</si>
  <si>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</si>
  <si>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</si>
  <si>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</si>
  <si>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</si>
  <si>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</si>
  <si>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</si>
  <si>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</si>
  <si>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</si>
  <si>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</si>
  <si>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</si>
  <si>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</si>
  <si>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</si>
  <si>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</si>
  <si>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</si>
  <si>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</si>
  <si>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</si>
  <si>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</si>
  <si>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</si>
  <si>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</si>
  <si>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</si>
  <si>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</si>
  <si>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</si>
  <si>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</si>
  <si>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</si>
  <si>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</si>
  <si>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</si>
  <si>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</si>
  <si>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</si>
  <si>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</si>
  <si>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</si>
  <si>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</si>
  <si>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</si>
  <si>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</si>
  <si>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</si>
  <si>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</si>
  <si>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</si>
  <si>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</si>
  <si>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</si>
  <si>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</si>
  <si>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</si>
  <si>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</si>
  <si>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</si>
  <si>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</si>
  <si>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</si>
  <si>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</si>
  <si>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</si>
  <si>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</si>
  <si>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</si>
  <si>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</si>
  <si>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</si>
  <si>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</si>
  <si>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</si>
  <si>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</si>
  <si>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</si>
  <si>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</si>
  <si>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</si>
  <si>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</si>
  <si>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</si>
  <si>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</si>
  <si>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</si>
  <si>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</si>
  <si>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</si>
  <si>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</si>
  <si>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</si>
  <si>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</si>
  <si>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</si>
  <si>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</si>
  <si>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</si>
  <si>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</si>
  <si>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</si>
  <si>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</si>
  <si>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</si>
  <si>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</si>
  <si>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</si>
  <si>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</si>
  <si>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</si>
  <si>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</si>
  <si>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</si>
  <si>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</si>
  <si>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</si>
  <si>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</si>
  <si>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</si>
  <si>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</si>
  <si>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</si>
  <si>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</si>
  <si>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</si>
  <si>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</si>
  <si>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</si>
  <si>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</si>
  <si>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</si>
  <si>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</si>
  <si>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</si>
  <si>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</si>
  <si>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</si>
  <si>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</si>
  <si>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</si>
  <si>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</si>
  <si>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</si>
  <si>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</si>
  <si>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</si>
  <si>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</si>
  <si>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</si>
  <si>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</si>
  <si>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</si>
  <si>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</si>
  <si>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</si>
  <si>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</si>
  <si>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</si>
  <si>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</si>
  <si>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</si>
  <si>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</si>
  <si>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</si>
  <si>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</si>
  <si>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</si>
  <si>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</si>
  <si>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</si>
  <si>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</si>
  <si>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</si>
  <si>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</si>
  <si>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</si>
  <si>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</si>
  <si>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</si>
  <si>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</si>
  <si>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</si>
  <si>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</si>
  <si>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</si>
  <si>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</si>
  <si>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</si>
  <si>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</si>
  <si>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</si>
  <si>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</si>
  <si>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</si>
  <si>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</si>
  <si>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</si>
  <si>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</si>
  <si>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</si>
  <si>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</si>
  <si>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</si>
  <si>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</si>
  <si>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</si>
  <si>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</si>
  <si>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</si>
  <si>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</si>
  <si>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</si>
  <si>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</si>
  <si>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</si>
  <si>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</si>
  <si>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</si>
  <si>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</si>
  <si>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</si>
  <si>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</si>
  <si>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</si>
  <si>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</si>
  <si>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</si>
  <si>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</si>
  <si>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</si>
  <si>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</si>
  <si>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</si>
  <si>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</si>
  <si>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</si>
  <si>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</si>
  <si>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</si>
  <si>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</si>
  <si>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</si>
  <si>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</si>
  <si>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</si>
  <si>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</si>
  <si>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</si>
  <si>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</si>
  <si>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</si>
  <si>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</si>
  <si>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</si>
  <si>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</si>
  <si>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</si>
  <si>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</si>
  <si>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</si>
  <si>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</si>
  <si>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</si>
  <si>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</si>
  <si>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</si>
  <si>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</si>
  <si>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</si>
  <si>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</si>
  <si>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</si>
  <si>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</si>
  <si>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</si>
  <si>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</si>
  <si>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</si>
  <si>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</si>
  <si>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</si>
  <si>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</si>
  <si>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</si>
  <si>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</si>
  <si>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</si>
  <si>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</si>
  <si>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</si>
  <si>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</si>
  <si>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</si>
  <si>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</si>
  <si>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</si>
  <si>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</si>
  <si>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</si>
  <si>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</si>
  <si>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</si>
  <si>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</si>
  <si>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</si>
  <si>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</si>
  <si>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</si>
  <si>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</si>
  <si>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</si>
  <si>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</si>
  <si>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</si>
  <si>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</si>
  <si>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</si>
  <si>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</si>
  <si>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</si>
  <si>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</si>
  <si>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</si>
  <si>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</si>
  <si>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</si>
  <si>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</si>
  <si>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</si>
  <si>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</si>
  <si>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</si>
  <si>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</si>
  <si>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</si>
  <si>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</si>
  <si>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</si>
  <si>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</si>
  <si>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</si>
  <si>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</si>
  <si>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</si>
  <si>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</si>
  <si>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</si>
  <si>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</si>
  <si>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</si>
  <si>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</si>
  <si>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</si>
  <si>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</si>
  <si>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</si>
  <si>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</si>
  <si>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</si>
  <si>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</si>
  <si>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</si>
  <si>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</si>
  <si>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</si>
  <si>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</si>
  <si>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</si>
  <si>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</si>
  <si>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</si>
  <si>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</si>
  <si>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</si>
  <si>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</si>
  <si>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</si>
  <si>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</si>
  <si>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</si>
  <si>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</si>
  <si>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</si>
  <si>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</si>
  <si>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</si>
  <si>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</si>
  <si>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</si>
  <si>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</si>
  <si>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</si>
  <si>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</si>
  <si>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</si>
  <si>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</si>
  <si>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</si>
  <si>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</si>
  <si>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</si>
  <si>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</si>
  <si>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</si>
  <si>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</si>
  <si>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</si>
  <si>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</si>
  <si>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</si>
  <si>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</si>
  <si>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</si>
  <si>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</si>
  <si>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</si>
  <si>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</si>
  <si>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</si>
  <si>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</si>
  <si>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</si>
  <si>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</si>
  <si>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</si>
  <si>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</si>
  <si>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</si>
  <si>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</si>
  <si>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</si>
  <si>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</si>
  <si>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</si>
  <si>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</si>
  <si>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</si>
  <si>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</si>
  <si>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</si>
  <si>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</si>
  <si>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</si>
  <si>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</si>
  <si>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</si>
  <si>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</si>
  <si>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</si>
  <si>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</si>
  <si>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</si>
  <si>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</si>
  <si>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</si>
  <si>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</si>
  <si>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</si>
  <si>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</si>
  <si>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</si>
  <si>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</si>
  <si>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</si>
  <si>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</si>
  <si>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</si>
  <si>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</si>
  <si>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</si>
  <si>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</si>
  <si>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</si>
  <si>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</si>
  <si>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</si>
  <si>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</si>
  <si>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</si>
  <si>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</si>
  <si>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</si>
  <si>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</si>
  <si>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</si>
  <si>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</si>
  <si>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</si>
  <si>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</si>
  <si>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</si>
  <si>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</si>
  <si>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</si>
  <si>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</si>
  <si>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</si>
  <si>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</si>
  <si>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</si>
  <si>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</si>
  <si>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</si>
  <si>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</si>
  <si>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</si>
  <si>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</si>
  <si>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</si>
  <si>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</si>
  <si>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</si>
  <si>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</si>
  <si>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</si>
  <si>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</si>
  <si>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</si>
  <si>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</si>
  <si>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</si>
  <si>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</si>
  <si>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</si>
  <si>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</si>
  <si>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</si>
  <si>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</si>
  <si>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</si>
  <si>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</si>
  <si>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</si>
  <si>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</si>
  <si>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</si>
  <si>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</si>
  <si>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</si>
  <si>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</si>
  <si>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</si>
  <si>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</si>
  <si>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</si>
  <si>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</si>
  <si>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</si>
  <si>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</si>
  <si>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</si>
  <si>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</si>
  <si>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</si>
  <si>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</si>
  <si>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</si>
  <si>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</si>
  <si>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</si>
  <si>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</si>
  <si>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</si>
  <si>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</si>
  <si>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</si>
  <si>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</si>
  <si>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</si>
  <si>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</si>
  <si>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</si>
  <si>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</si>
  <si>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</si>
  <si>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</si>
  <si>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</si>
  <si>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</si>
  <si>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</si>
  <si>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</si>
  <si>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</si>
  <si>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</si>
  <si>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</si>
  <si>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</si>
  <si>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</si>
  <si>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</si>
  <si>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</si>
  <si>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</si>
  <si>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</si>
  <si>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</si>
  <si>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</si>
  <si>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</si>
  <si>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</si>
  <si>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</si>
  <si>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</si>
  <si>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</si>
  <si>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</si>
  <si>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</si>
  <si>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</si>
  <si>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</si>
  <si>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</si>
  <si>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</si>
  <si>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</si>
  <si>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</si>
  <si>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</si>
  <si>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</si>
  <si>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</si>
  <si>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</si>
  <si>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</si>
  <si>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</si>
  <si>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</si>
  <si>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</si>
  <si>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</si>
  <si>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</si>
  <si>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</si>
  <si>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</si>
  <si>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</si>
  <si>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</si>
  <si>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</si>
  <si>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</si>
  <si>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</si>
  <si>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</si>
  <si>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</si>
  <si>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</si>
  <si>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</si>
  <si>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</si>
  <si>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</si>
  <si>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</si>
  <si>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</si>
  <si>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</si>
  <si>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</si>
  <si>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</si>
  <si>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</si>
  <si>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</si>
  <si>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</si>
  <si>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</si>
  <si>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</si>
  <si>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</si>
  <si>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</si>
  <si>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</si>
  <si>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</si>
  <si>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</si>
  <si>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</si>
  <si>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</si>
  <si>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</si>
  <si>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</si>
  <si>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</si>
  <si>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</si>
  <si>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</si>
  <si>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</si>
  <si>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</si>
  <si>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</si>
  <si>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</si>
  <si>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</si>
  <si>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</si>
  <si>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</si>
  <si>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</si>
  <si>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</si>
  <si>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</si>
  <si>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</si>
  <si>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</si>
  <si>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</si>
  <si>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</si>
  <si>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</si>
  <si>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</si>
  <si>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</si>
  <si>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</si>
  <si>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</si>
  <si>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</si>
  <si>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</si>
  <si>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</si>
  <si>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</si>
  <si>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</si>
  <si>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</si>
  <si>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</si>
  <si>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</si>
  <si>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</si>
  <si>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</si>
  <si>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</si>
  <si>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</si>
  <si>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</si>
  <si>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</si>
  <si>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</si>
  <si>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</si>
  <si>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</si>
  <si>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</si>
  <si>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</si>
  <si>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</si>
  <si>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</si>
  <si>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</si>
  <si>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</si>
  <si>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</si>
  <si>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</si>
  <si>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</si>
  <si>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</si>
  <si>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</si>
  <si>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</si>
  <si>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</si>
  <si>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</si>
  <si>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</si>
  <si>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</si>
  <si>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</si>
  <si>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</si>
  <si>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</si>
  <si>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</si>
  <si>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</si>
  <si>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</si>
  <si>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</si>
  <si>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</si>
  <si>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</si>
  <si>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</si>
  <si>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</si>
  <si>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</si>
  <si>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</si>
  <si>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</si>
  <si>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</si>
  <si>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</si>
  <si>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</si>
  <si>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</si>
  <si>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</si>
  <si>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</si>
  <si>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</si>
  <si>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</si>
  <si>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</si>
  <si>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</si>
  <si>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</si>
  <si>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</si>
  <si>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</si>
  <si>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</si>
  <si>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</si>
  <si>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</si>
  <si>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</si>
  <si>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</si>
  <si>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</si>
  <si>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</si>
  <si>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</si>
  <si>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</si>
  <si>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</si>
  <si>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</si>
  <si>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</si>
  <si>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</si>
  <si>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</si>
  <si>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</si>
  <si>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</si>
  <si>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</si>
  <si>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</si>
  <si>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</si>
  <si>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</si>
  <si>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</si>
  <si>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</si>
  <si>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</si>
  <si>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</si>
  <si>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</si>
  <si>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</si>
  <si>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</si>
  <si>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</si>
  <si>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</si>
  <si>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</si>
  <si>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</si>
  <si>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</si>
  <si>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</si>
  <si>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</si>
  <si>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</si>
  <si>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</si>
  <si>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</si>
  <si>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</si>
  <si>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</si>
  <si>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</si>
  <si>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</si>
  <si>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</si>
  <si>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</si>
  <si>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</si>
  <si>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</si>
  <si>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</si>
  <si>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</si>
  <si>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</si>
  <si>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</si>
  <si>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</si>
  <si>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</si>
  <si>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</si>
  <si>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</si>
  <si>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</si>
  <si>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</si>
  <si>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</si>
  <si>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</si>
  <si>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</si>
  <si>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</si>
  <si>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</si>
  <si>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</si>
  <si>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</si>
  <si>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</si>
  <si>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</si>
  <si>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</si>
  <si>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</si>
  <si>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</si>
  <si>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</si>
  <si>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</si>
  <si>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</si>
  <si>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</si>
  <si>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</si>
  <si>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</si>
  <si>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</si>
  <si>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</si>
  <si>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</si>
  <si>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</si>
  <si>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</si>
  <si>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</si>
  <si>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</si>
  <si>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</si>
  <si>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</si>
  <si>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</si>
  <si>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</si>
  <si>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</si>
  <si>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</si>
  <si>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</si>
  <si>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</si>
  <si>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</si>
  <si>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</si>
  <si>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</si>
  <si>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</si>
  <si>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</si>
  <si>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</si>
  <si>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</si>
  <si>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</si>
  <si>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</si>
  <si>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</si>
  <si>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</si>
  <si>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</si>
  <si>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</si>
  <si>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</si>
  <si>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</si>
  <si>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</si>
  <si>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</si>
  <si>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</si>
  <si>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</si>
  <si>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</si>
  <si>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</si>
  <si>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</si>
  <si>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</si>
  <si>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</si>
  <si>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</si>
  <si>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</si>
  <si>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</si>
  <si>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</si>
  <si>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</si>
  <si>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</si>
  <si>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</si>
  <si>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</si>
  <si>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</si>
  <si>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</si>
  <si>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</si>
  <si>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</si>
  <si>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</si>
  <si>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</si>
  <si>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</si>
  <si>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</si>
  <si>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</si>
  <si>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</si>
  <si>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</si>
  <si>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</si>
  <si>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</si>
  <si>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</si>
  <si>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</si>
  <si>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</si>
  <si>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</si>
  <si>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</si>
  <si>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</si>
  <si>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</si>
  <si>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</si>
  <si>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</si>
  <si>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</si>
  <si>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</si>
  <si>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</si>
  <si>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</si>
  <si>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</si>
  <si>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</si>
  <si>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</si>
  <si>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</si>
  <si>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</si>
  <si>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</si>
  <si>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</si>
  <si>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</si>
  <si>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</si>
  <si>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</si>
  <si>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</si>
  <si>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</si>
  <si>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</si>
  <si>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</si>
  <si>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</si>
  <si>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</si>
  <si>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</si>
  <si>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</si>
  <si>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</si>
  <si>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</si>
  <si>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</si>
  <si>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</si>
  <si>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</si>
  <si>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</si>
  <si>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</si>
  <si>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</si>
  <si>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</si>
  <si>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</si>
  <si>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</si>
  <si>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</si>
  <si>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</si>
  <si>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</si>
  <si>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</si>
  <si>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</si>
  <si>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</si>
  <si>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</si>
  <si>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</si>
  <si>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</si>
  <si>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</si>
  <si>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</si>
  <si>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</si>
  <si>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</si>
  <si>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</si>
  <si>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</si>
  <si>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</si>
  <si>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</si>
  <si>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</si>
  <si>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</si>
  <si>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</si>
  <si>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</si>
  <si>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</si>
  <si>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</si>
  <si>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</si>
  <si>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</si>
  <si>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</si>
  <si>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</si>
  <si>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</si>
  <si>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</si>
  <si>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</si>
  <si>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</si>
  <si>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</si>
  <si>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</si>
  <si>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</si>
  <si>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</si>
  <si>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</si>
  <si>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</si>
  <si>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</si>
  <si>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</si>
  <si>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</si>
  <si>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</si>
  <si>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</si>
  <si>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</si>
  <si>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</si>
  <si>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</si>
  <si>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</si>
  <si>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</si>
  <si>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</si>
  <si>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</si>
  <si>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</si>
  <si>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</si>
  <si>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</si>
  <si>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</si>
  <si>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</si>
  <si>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</si>
  <si>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</si>
  <si>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</si>
  <si>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</si>
  <si>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</si>
  <si>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</si>
  <si>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</si>
  <si>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</si>
  <si>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</si>
  <si>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</si>
  <si>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</si>
  <si>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</si>
  <si>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</si>
  <si>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</si>
  <si>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</si>
  <si>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</si>
  <si>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</si>
  <si>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</si>
  <si>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</si>
  <si>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</si>
  <si>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</si>
  <si>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</si>
  <si>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</si>
  <si>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</si>
  <si>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</si>
  <si>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</si>
  <si>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</si>
  <si>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</si>
  <si>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</si>
  <si>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</si>
  <si>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</si>
  <si>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</si>
  <si>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</si>
  <si>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</si>
  <si>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</si>
  <si>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</si>
  <si>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</si>
  <si>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</si>
  <si>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</si>
  <si>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</si>
  <si>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</si>
  <si>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</si>
  <si>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</si>
  <si>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</si>
  <si>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</si>
  <si>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</si>
  <si>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</si>
  <si>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</si>
  <si>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</si>
  <si>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</si>
  <si>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</si>
  <si>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</si>
  <si>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</si>
  <si>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</si>
  <si>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</si>
  <si>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</si>
  <si>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</si>
  <si>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</si>
  <si>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</si>
  <si>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</si>
  <si>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</si>
  <si>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</si>
  <si>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</si>
  <si>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</si>
  <si>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</si>
  <si>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</si>
  <si>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</si>
  <si>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</si>
  <si>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</si>
  <si>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</si>
  <si>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</si>
  <si>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</si>
  <si>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</si>
  <si>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</si>
  <si>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</si>
  <si>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</si>
  <si>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</si>
  <si>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</si>
  <si>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</si>
  <si>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</si>
  <si>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</si>
  <si>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</si>
  <si>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</si>
  <si>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</si>
  <si>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</si>
  <si>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</si>
  <si>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</si>
  <si>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</si>
  <si>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</si>
  <si>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</si>
  <si>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</si>
  <si>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</si>
  <si>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</si>
  <si>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</si>
  <si>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</si>
  <si>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</si>
  <si>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</si>
  <si>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</si>
  <si>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</si>
  <si>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</si>
  <si>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</si>
  <si>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</si>
  <si>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</si>
  <si>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</si>
  <si>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</si>
  <si>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</si>
  <si>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</si>
  <si>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</si>
  <si>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</si>
  <si>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</si>
  <si>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</si>
  <si>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</si>
  <si>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</si>
  <si>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</si>
  <si>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</si>
  <si>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</si>
  <si>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</si>
  <si>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</si>
  <si>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</si>
  <si>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</si>
  <si>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</si>
  <si>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</si>
  <si>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</si>
  <si>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</si>
  <si>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</si>
  <si>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</si>
  <si>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</si>
  <si>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</si>
  <si>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</si>
  <si>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</si>
  <si>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</si>
  <si>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</si>
  <si>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</si>
  <si>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</si>
  <si>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</si>
  <si>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</si>
  <si>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</si>
  <si>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</si>
  <si>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</si>
  <si>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</si>
  <si>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</si>
  <si>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</si>
  <si>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</si>
  <si>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</si>
  <si>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</si>
  <si>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</si>
  <si>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</si>
  <si>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</si>
  <si>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</si>
  <si>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</si>
  <si>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</si>
  <si>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</si>
  <si>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</si>
  <si>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</si>
  <si>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</si>
  <si>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</si>
  <si>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</si>
  <si>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</si>
  <si>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</si>
  <si>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</si>
  <si>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</si>
  <si>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</si>
  <si>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</si>
  <si>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</si>
  <si>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</si>
  <si>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</si>
  <si>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</si>
  <si>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</si>
  <si>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</si>
  <si>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</si>
  <si>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</si>
  <si>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</si>
  <si>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</si>
  <si>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</si>
  <si>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</si>
  <si>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</si>
  <si>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</si>
  <si>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</si>
  <si>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</si>
  <si>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</si>
  <si>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</si>
  <si>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</si>
  <si>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</si>
  <si>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</si>
  <si>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</si>
  <si>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</si>
  <si>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</si>
  <si>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</si>
  <si>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</si>
  <si>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</si>
  <si>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</si>
  <si>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</si>
  <si>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</si>
  <si>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</si>
  <si>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</si>
  <si>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</si>
  <si>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</si>
  <si>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</si>
  <si>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</si>
  <si>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</si>
  <si>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</si>
  <si>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</si>
  <si>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</si>
  <si>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</si>
  <si>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</si>
  <si>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</si>
  <si>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</si>
  <si>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</si>
  <si>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</si>
  <si>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</si>
  <si>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</si>
  <si>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</si>
  <si>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</si>
  <si>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</si>
  <si>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</si>
  <si>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</si>
  <si>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</si>
  <si>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</si>
  <si>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</si>
  <si>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</si>
  <si>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</si>
  <si>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</si>
  <si>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</si>
  <si>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</si>
  <si>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</si>
  <si>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</si>
  <si>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</si>
  <si>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</si>
  <si>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</si>
  <si>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</si>
  <si>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</si>
  <si>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</si>
  <si>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</si>
  <si>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</si>
  <si>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</si>
  <si>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</si>
  <si>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</si>
  <si>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</si>
  <si>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</si>
  <si>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</si>
  <si>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</si>
  <si>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</si>
  <si>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</si>
  <si>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</si>
  <si>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</si>
  <si>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</si>
  <si>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</si>
  <si>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</si>
  <si>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</si>
  <si>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</si>
  <si>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</si>
  <si>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</si>
  <si>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</si>
  <si>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</si>
  <si>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</si>
  <si>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</si>
  <si>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</si>
  <si>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</si>
  <si>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</si>
  <si>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</si>
  <si>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</si>
  <si>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</si>
  <si>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</si>
  <si>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</si>
  <si>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</si>
  <si>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</si>
  <si>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</si>
  <si>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</si>
  <si>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</si>
  <si>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</si>
  <si>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</si>
  <si>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</si>
  <si>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</si>
  <si>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</si>
  <si>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</si>
  <si>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</si>
  <si>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</si>
  <si>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</si>
  <si>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</si>
  <si>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</si>
  <si>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</si>
  <si>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</si>
  <si>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</si>
  <si>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</si>
  <si>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</si>
  <si>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</si>
  <si>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</si>
  <si>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</si>
  <si>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</si>
  <si>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</si>
  <si>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</si>
  <si>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</si>
  <si>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</si>
  <si>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</si>
  <si>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</si>
  <si>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</si>
  <si>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</si>
  <si>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</si>
  <si>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</si>
  <si>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</si>
  <si>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</si>
  <si>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</si>
  <si>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</si>
  <si>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</si>
  <si>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</si>
  <si>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</si>
  <si>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</si>
  <si>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</si>
  <si>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</si>
  <si>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</si>
  <si>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</si>
  <si>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</si>
  <si>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</si>
  <si>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</si>
  <si>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</si>
  <si>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</si>
  <si>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</si>
  <si>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</si>
  <si>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</si>
  <si>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</si>
  <si>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</si>
  <si>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</si>
  <si>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</si>
  <si>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</si>
  <si>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</si>
  <si>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</si>
  <si>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</si>
  <si>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</si>
  <si>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</si>
  <si>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</si>
  <si>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</si>
  <si>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</si>
  <si>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</si>
  <si>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</si>
  <si>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</si>
  <si>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</si>
  <si>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</si>
  <si>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</si>
  <si>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</si>
  <si>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</si>
  <si>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</si>
  <si>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</si>
  <si>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</si>
  <si>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</si>
  <si>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</si>
  <si>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</si>
  <si>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</si>
  <si>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</si>
  <si>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</si>
  <si>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</si>
  <si>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</si>
  <si>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</si>
  <si>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</si>
  <si>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</si>
  <si>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</si>
  <si>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</si>
  <si>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</si>
  <si>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</si>
  <si>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</si>
  <si>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</si>
  <si>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</si>
  <si>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</si>
  <si>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</si>
  <si>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</si>
  <si>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</si>
  <si>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</si>
  <si>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</si>
  <si>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</si>
  <si>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</si>
  <si>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</si>
  <si>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</si>
  <si>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</si>
  <si>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</si>
  <si>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</si>
  <si>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</si>
  <si>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</si>
  <si>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</si>
  <si>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</si>
  <si>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</si>
  <si>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</si>
  <si>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</si>
  <si>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</si>
  <si>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</si>
  <si>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</si>
  <si>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</si>
  <si>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</si>
  <si>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</si>
  <si>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</si>
  <si>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</si>
  <si>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</si>
  <si>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</si>
  <si>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</si>
  <si>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</si>
  <si>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</si>
  <si>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</si>
  <si>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</si>
  <si>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</si>
  <si>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</si>
  <si>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</si>
  <si>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</si>
  <si>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</si>
  <si>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</si>
  <si>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</si>
  <si>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</si>
  <si>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</si>
  <si>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</si>
  <si>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</si>
  <si>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</si>
  <si>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</si>
  <si>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</si>
  <si>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</si>
  <si>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</si>
  <si>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</si>
  <si>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</si>
  <si>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</si>
  <si>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</si>
  <si>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</si>
  <si>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</si>
  <si>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</si>
  <si>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</si>
  <si>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</si>
  <si>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</si>
  <si>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</si>
  <si>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</si>
  <si>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</si>
  <si>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</si>
  <si>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</si>
  <si>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</si>
  <si>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</si>
  <si>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</si>
  <si>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</si>
  <si>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</si>
  <si>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</si>
  <si>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</si>
  <si>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</si>
  <si>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</si>
  <si>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</si>
  <si>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</si>
  <si>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</si>
  <si>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</si>
  <si>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</si>
  <si>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</si>
  <si>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</si>
  <si>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</si>
  <si>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</si>
  <si>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</si>
  <si>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</si>
  <si>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</si>
  <si>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</si>
  <si>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</si>
  <si>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</si>
  <si>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</si>
  <si>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</si>
  <si>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</si>
  <si>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</si>
  <si>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</si>
  <si>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</si>
  <si>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</si>
  <si>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</si>
  <si>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</si>
  <si>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</si>
  <si>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</si>
  <si>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</si>
  <si>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</si>
  <si>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</si>
  <si>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</si>
  <si>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</si>
  <si>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</si>
  <si>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</si>
  <si>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</si>
  <si>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</si>
  <si>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</si>
  <si>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</si>
  <si>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</si>
  <si>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</si>
  <si>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</si>
  <si>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</si>
  <si>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</si>
  <si>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</si>
  <si>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</si>
  <si>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</si>
  <si>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</si>
  <si>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</si>
  <si>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</si>
  <si>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</si>
  <si>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</si>
  <si>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</si>
  <si>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</si>
  <si>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</si>
  <si>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</si>
  <si>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</si>
  <si>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</si>
  <si>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</si>
  <si>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</si>
  <si>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</si>
  <si>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</si>
  <si>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</si>
  <si>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</si>
  <si>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</si>
  <si>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</si>
  <si>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</si>
  <si>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</si>
  <si>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</si>
  <si>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</si>
  <si>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</si>
  <si>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</si>
  <si>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</si>
  <si>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</si>
  <si>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</si>
  <si>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</si>
  <si>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</si>
  <si>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</si>
  <si>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</si>
  <si>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</si>
  <si>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</si>
  <si>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</si>
  <si>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</si>
  <si>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</si>
  <si>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</si>
  <si>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</si>
  <si>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</si>
  <si>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</si>
  <si>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</si>
  <si>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</si>
  <si>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</si>
  <si>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</si>
  <si>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</si>
  <si>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</si>
  <si>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</si>
  <si>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</si>
  <si>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</si>
  <si>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</si>
  <si>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</si>
  <si>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</si>
  <si>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</si>
  <si>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</si>
  <si>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</si>
  <si>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</si>
  <si>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</si>
  <si>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</si>
  <si>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</si>
  <si>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</si>
  <si>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</si>
  <si>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</si>
  <si>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</si>
  <si>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</si>
  <si>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</si>
  <si>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</si>
  <si>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</si>
  <si>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</si>
  <si>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</si>
  <si>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</si>
  <si>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</si>
  <si>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</si>
  <si>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</si>
  <si>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</si>
  <si>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</si>
  <si>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</si>
  <si>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</si>
  <si>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</si>
  <si>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</si>
  <si>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</si>
  <si>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</si>
  <si>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</si>
  <si>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</si>
  <si>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</si>
  <si>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</si>
  <si>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</si>
  <si>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</si>
  <si>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</si>
  <si>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</si>
  <si>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</si>
  <si>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</si>
  <si>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</si>
  <si>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</si>
  <si>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</si>
  <si>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</si>
  <si>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</si>
  <si>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</si>
  <si>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</si>
  <si>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</si>
  <si>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</si>
  <si>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</si>
  <si>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</si>
  <si>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</si>
  <si>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</si>
  <si>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</si>
  <si>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</si>
  <si>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</si>
  <si>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</si>
  <si>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</si>
  <si>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</si>
  <si>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</si>
  <si>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</si>
  <si>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</si>
  <si>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</si>
  <si>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</si>
  <si>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</si>
  <si>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</si>
  <si>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</si>
  <si>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</si>
  <si>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</si>
  <si>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</si>
  <si>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</si>
  <si>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</si>
  <si>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</si>
  <si>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</si>
  <si>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</si>
  <si>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</si>
  <si>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</si>
  <si>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</si>
  <si>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</si>
  <si>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</si>
  <si>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</si>
  <si>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</si>
  <si>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</si>
  <si>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</si>
  <si>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</si>
  <si>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</si>
  <si>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</si>
  <si>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</si>
  <si>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</si>
  <si>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</si>
  <si>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</si>
  <si>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</si>
  <si>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</si>
  <si>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</si>
  <si>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</si>
  <si>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</si>
  <si>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</si>
  <si>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</si>
  <si>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</si>
  <si>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</si>
  <si>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</si>
  <si>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</si>
  <si>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</si>
  <si>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</si>
  <si>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</si>
  <si>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</si>
  <si>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</si>
  <si>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</si>
  <si>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</si>
  <si>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</si>
  <si>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</si>
  <si>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</si>
  <si>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</si>
  <si>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</si>
  <si>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</si>
  <si>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</si>
  <si>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</si>
  <si>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</si>
  <si>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</si>
  <si>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</si>
  <si>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</si>
  <si>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</si>
  <si>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</si>
  <si>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</si>
  <si>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</si>
  <si>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</si>
  <si>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</si>
  <si>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</si>
  <si>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</si>
  <si>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</si>
  <si>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</si>
  <si>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</si>
  <si>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</si>
  <si>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</si>
  <si>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</si>
  <si>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</si>
  <si>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</si>
  <si>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</si>
  <si>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</si>
  <si>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</si>
  <si>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</si>
  <si>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</si>
  <si>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</si>
  <si>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</si>
  <si>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</si>
  <si>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</si>
  <si>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</si>
  <si>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</si>
  <si>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</si>
  <si>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</si>
  <si>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</si>
  <si>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</si>
  <si>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</si>
  <si>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</si>
  <si>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</si>
  <si>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</si>
  <si>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</si>
  <si>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</si>
  <si>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</si>
  <si>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</si>
  <si>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</si>
  <si>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</si>
  <si>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</si>
  <si>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</si>
  <si>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</si>
  <si>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</si>
  <si>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</si>
  <si>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</si>
  <si>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</si>
  <si>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</si>
  <si>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</si>
  <si>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</si>
  <si>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</si>
  <si>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</si>
  <si>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</si>
  <si>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</si>
  <si>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</si>
  <si>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</si>
  <si>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</si>
  <si>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</si>
  <si>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</si>
  <si>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</si>
  <si>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</si>
  <si>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</si>
  <si>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</si>
  <si>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</si>
  <si>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</si>
  <si>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</si>
  <si>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</si>
  <si>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</si>
  <si>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</si>
  <si>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</si>
  <si>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</si>
  <si>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</si>
  <si>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</si>
  <si>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</si>
  <si>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</si>
  <si>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</si>
  <si>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</si>
  <si>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</si>
  <si>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</si>
  <si>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</si>
  <si>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</si>
  <si>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</si>
  <si>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</si>
  <si>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</si>
  <si>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</si>
  <si>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</si>
  <si>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</si>
  <si>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</si>
  <si>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</si>
  <si>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</si>
  <si>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</si>
  <si>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</si>
  <si>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</si>
  <si>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</si>
  <si>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</si>
  <si>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</si>
  <si>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</si>
  <si>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</si>
  <si>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</si>
  <si>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</si>
  <si>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</si>
  <si>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</si>
  <si>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</si>
  <si>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</si>
  <si>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</si>
  <si>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</si>
  <si>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</si>
  <si>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</si>
  <si>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</si>
  <si>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</si>
  <si>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</si>
  <si>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</si>
  <si>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</si>
  <si>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</si>
  <si>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</si>
  <si>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</si>
  <si>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</si>
  <si>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</si>
  <si>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</si>
  <si>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</si>
  <si>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</si>
  <si>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</si>
  <si>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</si>
  <si>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</si>
  <si>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</si>
  <si>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</si>
  <si>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</si>
  <si>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</si>
  <si>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</si>
  <si>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</si>
  <si>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</si>
  <si>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</si>
  <si>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</si>
  <si>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</si>
  <si>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</si>
  <si>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</si>
  <si>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</si>
  <si>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</si>
  <si>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</si>
  <si>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</si>
  <si>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</si>
  <si>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</si>
  <si>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</si>
  <si>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</si>
  <si>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</si>
  <si>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</si>
  <si>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</si>
  <si>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</si>
  <si>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</si>
  <si>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</si>
  <si>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</si>
  <si>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</si>
  <si>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</si>
  <si>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</si>
  <si>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</si>
  <si>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</si>
  <si>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</si>
  <si>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</si>
  <si>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</si>
  <si>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</si>
  <si>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</si>
  <si>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</si>
  <si>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</si>
  <si>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</si>
  <si>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</si>
  <si>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</si>
  <si>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</si>
  <si>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</si>
  <si>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</si>
  <si>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</si>
  <si>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</si>
  <si>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</si>
  <si>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</si>
  <si>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</si>
  <si>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</si>
  <si>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</si>
  <si>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</si>
  <si>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</si>
  <si>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</si>
  <si>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</si>
  <si>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</si>
  <si>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</si>
  <si>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</si>
  <si>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</si>
  <si>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</si>
  <si>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</si>
  <si>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</si>
  <si>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</si>
  <si>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</si>
  <si>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</si>
  <si>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</si>
  <si>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</si>
  <si>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</si>
  <si>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</si>
  <si>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</si>
  <si>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</si>
  <si>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</si>
  <si>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</si>
  <si>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</si>
  <si>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</si>
  <si>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</si>
  <si>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</si>
  <si>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</si>
  <si>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</si>
  <si>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</si>
  <si>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</si>
  <si>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</si>
  <si>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</si>
  <si>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</si>
  <si>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</si>
  <si>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</si>
  <si>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</si>
  <si>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</si>
  <si>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</si>
  <si>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</si>
  <si>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</si>
  <si>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</si>
  <si>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</si>
  <si>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</si>
  <si>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</si>
  <si>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</si>
  <si>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</si>
  <si>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</si>
  <si>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</si>
  <si>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</si>
  <si>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</si>
  <si>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</si>
  <si>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</si>
  <si>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</si>
  <si>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</si>
  <si>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</si>
  <si>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</si>
  <si>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</si>
  <si>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</si>
  <si>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</si>
  <si>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</si>
  <si>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</si>
  <si>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</si>
  <si>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</si>
  <si>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</si>
  <si>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</si>
  <si>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</si>
  <si>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</si>
  <si>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</si>
  <si>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</si>
  <si>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</si>
  <si>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</si>
  <si>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</si>
  <si>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</si>
  <si>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</si>
  <si>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</si>
  <si>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</si>
  <si>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</si>
  <si>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</si>
  <si>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</si>
  <si>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</si>
  <si>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</si>
  <si>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</si>
  <si>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</si>
  <si>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</si>
  <si>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</si>
  <si>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</si>
  <si>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</si>
  <si>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</si>
  <si>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</si>
  <si>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</si>
  <si>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</si>
  <si>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</si>
  <si>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</si>
  <si>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</si>
  <si>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</si>
  <si>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</si>
  <si>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</si>
  <si>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</si>
  <si>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</si>
  <si>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</si>
  <si>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</si>
  <si>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</si>
  <si>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</si>
  <si>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</si>
  <si>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</si>
  <si>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</si>
  <si>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</si>
  <si>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</si>
  <si>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</si>
  <si>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</si>
  <si>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</si>
  <si>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</si>
  <si>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</si>
  <si>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</si>
  <si>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</si>
  <si>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</si>
  <si>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</si>
  <si>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</si>
  <si>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</si>
  <si>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</si>
  <si>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</si>
  <si>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</si>
  <si>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</si>
  <si>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</si>
  <si>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</si>
  <si>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</si>
  <si>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</si>
  <si>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</si>
  <si>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</si>
  <si>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</si>
  <si>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</si>
  <si>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</si>
  <si>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</si>
  <si>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</si>
  <si>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</si>
  <si>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</si>
  <si>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</si>
  <si>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</si>
  <si>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</si>
  <si>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</si>
  <si>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</si>
  <si>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</si>
  <si>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</si>
  <si>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</si>
  <si>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</si>
  <si>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</si>
  <si>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</si>
  <si>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</si>
  <si>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</si>
  <si>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</si>
  <si>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</si>
  <si>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</si>
  <si>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</si>
  <si>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</si>
  <si>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</si>
  <si>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</si>
  <si>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</si>
  <si>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</si>
  <si>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</si>
  <si>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</si>
  <si>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</si>
  <si>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</si>
  <si>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</si>
  <si>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</si>
  <si>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</si>
  <si>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</si>
  <si>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</si>
  <si>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</si>
  <si>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</si>
  <si>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</si>
  <si>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</si>
  <si>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</si>
  <si>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</si>
  <si>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</si>
  <si>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</si>
  <si>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</si>
  <si>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</si>
  <si>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</si>
  <si>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</si>
  <si>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</si>
  <si>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</si>
  <si>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</si>
  <si>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</si>
  <si>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</si>
  <si>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</si>
  <si>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</si>
  <si>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</si>
  <si>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</si>
  <si>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</si>
  <si>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</si>
  <si>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</si>
  <si>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</si>
  <si>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</si>
  <si>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</si>
  <si>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</si>
  <si>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</si>
  <si>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</si>
  <si>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</si>
  <si>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</si>
  <si>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</si>
  <si>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</si>
  <si>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</si>
  <si>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</si>
  <si>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</si>
  <si>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</si>
  <si>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</si>
  <si>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</si>
  <si>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</si>
  <si>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</si>
  <si>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</si>
  <si>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</si>
  <si>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</si>
  <si>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</si>
  <si>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</si>
  <si>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</si>
  <si>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</si>
  <si>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</si>
  <si>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</si>
  <si>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</si>
  <si>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</si>
  <si>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</si>
  <si>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</si>
  <si>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</si>
  <si>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</si>
  <si>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</si>
  <si>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</si>
  <si>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</si>
  <si>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</si>
  <si>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</si>
  <si>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</si>
  <si>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</si>
  <si>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</si>
  <si>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</si>
  <si>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</si>
  <si>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</si>
  <si>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</si>
  <si>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</si>
  <si>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</si>
  <si>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</si>
  <si>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</si>
  <si>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</si>
  <si>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</si>
  <si>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</si>
  <si>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</si>
  <si>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</si>
  <si>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</si>
  <si>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</si>
  <si>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</si>
  <si>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</si>
  <si>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</si>
  <si>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</si>
  <si>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</si>
  <si>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</si>
  <si>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</si>
  <si>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</si>
  <si>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</si>
  <si>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</si>
  <si>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</si>
  <si>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</si>
  <si>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</si>
  <si>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</si>
  <si>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</si>
  <si>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</si>
  <si>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</si>
  <si>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</si>
  <si>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</si>
  <si>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</si>
  <si>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</si>
  <si>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</si>
  <si>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</si>
  <si>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</si>
  <si>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</si>
  <si>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</si>
  <si>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</si>
  <si>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</si>
  <si>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</si>
  <si>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</si>
  <si>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</si>
  <si>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</si>
  <si>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</si>
  <si>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</si>
  <si>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</si>
  <si>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</si>
  <si>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</si>
  <si>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</si>
  <si>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</si>
  <si>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</si>
  <si>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</si>
  <si>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</si>
  <si>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</si>
  <si>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</si>
  <si>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</si>
  <si>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</si>
  <si>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</si>
  <si>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</si>
  <si>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</si>
  <si>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</si>
  <si>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</si>
  <si>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</si>
  <si>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</si>
  <si>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</si>
  <si>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</si>
  <si>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</si>
  <si>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</si>
  <si>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</si>
  <si>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</si>
  <si>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</si>
  <si>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</si>
  <si>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</si>
  <si>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</si>
  <si>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</si>
  <si>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</si>
  <si>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</si>
  <si>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</si>
  <si>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</si>
  <si>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</si>
  <si>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</si>
  <si>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</si>
  <si>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</si>
  <si>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</si>
  <si>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</si>
  <si>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</si>
  <si>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</si>
  <si>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</si>
  <si>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</si>
  <si>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</si>
  <si>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</si>
  <si>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</si>
  <si>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</si>
  <si>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</si>
  <si>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</si>
  <si>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</si>
  <si>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</si>
  <si>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</si>
  <si>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</si>
  <si>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</si>
  <si>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</si>
  <si>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</si>
  <si>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</si>
  <si>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</si>
  <si>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</si>
  <si>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</si>
  <si>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</si>
  <si>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</si>
  <si>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</si>
  <si>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</si>
  <si>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</si>
  <si>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</si>
  <si>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</si>
  <si>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</si>
  <si>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</si>
  <si>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</si>
  <si>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</si>
  <si>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</si>
  <si>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</si>
  <si>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</si>
  <si>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</si>
  <si>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</si>
  <si>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</si>
  <si>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</si>
  <si>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</si>
  <si>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</si>
  <si>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</si>
  <si>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</si>
  <si>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</si>
  <si>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</si>
  <si>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</si>
  <si>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</si>
  <si>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</si>
  <si>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</si>
  <si>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</si>
  <si>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</si>
  <si>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</si>
  <si>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</si>
  <si>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</si>
  <si>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</si>
  <si>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</si>
  <si>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</si>
  <si>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</si>
  <si>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</si>
  <si>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</si>
  <si>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</si>
  <si>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</si>
  <si>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</si>
  <si>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</si>
  <si>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</si>
  <si>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</si>
  <si>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</si>
  <si>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</si>
  <si>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</si>
  <si>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</si>
  <si>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</si>
  <si>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</si>
  <si>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</si>
  <si>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</si>
  <si>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</si>
  <si>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</si>
  <si>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</si>
  <si>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</si>
  <si>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</si>
  <si>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</si>
  <si>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</si>
  <si>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</si>
  <si>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</si>
  <si>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</si>
  <si>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</si>
  <si>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</si>
  <si>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</si>
  <si>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</si>
  <si>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</si>
  <si>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</si>
  <si>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</si>
  <si>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</si>
  <si>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</si>
  <si>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</si>
  <si>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</si>
  <si>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</si>
  <si>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</si>
  <si>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</si>
  <si>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</si>
  <si>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</si>
  <si>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</si>
  <si>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</si>
  <si>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</si>
  <si>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</si>
  <si>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</si>
  <si>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</si>
  <si>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</si>
  <si>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</si>
  <si>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</si>
  <si>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</si>
  <si>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</si>
  <si>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</si>
  <si>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</si>
  <si>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</si>
  <si>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</si>
  <si>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</si>
  <si>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</si>
  <si>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</si>
  <si>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</si>
  <si>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</si>
  <si>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</si>
  <si>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</si>
  <si>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</si>
  <si>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</si>
  <si>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</si>
  <si>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</si>
  <si>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</si>
  <si>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</si>
  <si>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</si>
  <si>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</si>
  <si>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</si>
  <si>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</si>
  <si>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</si>
  <si>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</si>
  <si>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</si>
  <si>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</si>
  <si>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</si>
  <si>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</si>
  <si>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</si>
  <si>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</si>
  <si>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</si>
  <si>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</si>
  <si>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</si>
  <si>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</si>
  <si>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</si>
  <si>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</si>
  <si>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</si>
  <si>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</si>
  <si>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</si>
  <si>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</si>
  <si>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</si>
  <si>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</si>
  <si>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</si>
  <si>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</si>
  <si>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</si>
  <si>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</si>
  <si>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</si>
  <si>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</si>
  <si>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</si>
  <si>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</si>
  <si>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</si>
  <si>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</si>
  <si>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</si>
  <si>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</si>
  <si>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</si>
  <si>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</si>
  <si>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</si>
  <si>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</si>
  <si>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</si>
  <si>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</si>
  <si>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</si>
  <si>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</si>
  <si>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</si>
  <si>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</si>
  <si>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</si>
  <si>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</si>
  <si>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</si>
  <si>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</si>
  <si>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</si>
  <si>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</si>
  <si>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</si>
  <si>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</si>
  <si>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</si>
  <si>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</si>
  <si>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</si>
  <si>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</si>
  <si>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</si>
  <si>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</si>
  <si>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</si>
  <si>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</si>
  <si>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</si>
  <si>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</si>
  <si>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</si>
  <si>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</si>
  <si>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</si>
  <si>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</si>
  <si>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</si>
  <si>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</si>
  <si>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</si>
  <si>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</si>
  <si>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</si>
  <si>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</si>
  <si>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</si>
  <si>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</si>
  <si>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</si>
  <si>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</si>
  <si>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</si>
  <si>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</si>
  <si>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</si>
  <si>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</si>
  <si>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</si>
  <si>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</si>
  <si>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</si>
  <si>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</si>
  <si>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</si>
  <si>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</si>
  <si>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</si>
  <si>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</si>
  <si>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</si>
  <si>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</si>
  <si>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</si>
  <si>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</si>
  <si>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</si>
  <si>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</si>
  <si>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</si>
  <si>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</si>
  <si>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</si>
  <si>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</si>
  <si>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</si>
  <si>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</si>
  <si>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</si>
  <si>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</si>
  <si>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</si>
  <si>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</si>
  <si>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</si>
  <si>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</si>
  <si>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</si>
  <si>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</si>
  <si>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</si>
  <si>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</si>
  <si>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</si>
  <si>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</si>
  <si>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</si>
  <si>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</si>
  <si>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</si>
  <si>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</si>
  <si>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</si>
  <si>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</si>
  <si>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</si>
  <si>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</si>
  <si>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</si>
  <si>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</si>
  <si>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</si>
  <si>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</si>
  <si>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</si>
  <si>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</si>
  <si>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</si>
  <si>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</si>
  <si>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</si>
  <si>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</si>
  <si>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</si>
  <si>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</si>
  <si>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</si>
  <si>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</si>
  <si>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</si>
  <si>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</si>
  <si>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</si>
  <si>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</si>
  <si>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</si>
  <si>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</si>
  <si>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</si>
  <si>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</si>
  <si>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</si>
  <si>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</si>
  <si>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</si>
  <si>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</si>
  <si>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</si>
  <si>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</si>
  <si>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</si>
  <si>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</si>
  <si>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</si>
  <si>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</si>
  <si>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</si>
  <si>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</si>
  <si>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</si>
  <si>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</si>
  <si>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</si>
  <si>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</si>
  <si>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</si>
  <si>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</si>
  <si>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</si>
  <si>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</si>
  <si>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</si>
  <si>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</si>
  <si>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</si>
  <si>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</si>
  <si>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</si>
  <si>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</si>
  <si>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</si>
  <si>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</si>
  <si>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</si>
  <si>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</si>
  <si>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</si>
  <si>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</si>
  <si>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</si>
  <si>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</si>
  <si>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</si>
  <si>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</si>
  <si>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</si>
  <si>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</si>
  <si>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</si>
  <si>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</si>
  <si>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</si>
  <si>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</si>
  <si>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</si>
  <si>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</si>
  <si>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</si>
  <si>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</si>
  <si>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</si>
  <si>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</si>
  <si>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</si>
  <si>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</si>
  <si>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</si>
  <si>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</si>
  <si>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</si>
  <si>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</si>
  <si>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</si>
  <si>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</si>
  <si>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</si>
  <si>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</si>
  <si>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</si>
  <si>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</si>
  <si>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</si>
  <si>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</si>
  <si>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</si>
  <si>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</si>
  <si>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</si>
  <si>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</si>
  <si>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</si>
  <si>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</si>
  <si>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</si>
  <si>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</si>
  <si>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</si>
  <si>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</si>
  <si>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</si>
  <si>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</si>
  <si>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</si>
  <si>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</si>
  <si>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</si>
  <si>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</si>
  <si>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</si>
  <si>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</si>
  <si>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</si>
  <si>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</si>
  <si>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</si>
  <si>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</si>
  <si>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</si>
  <si>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</si>
  <si>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</si>
  <si>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</si>
  <si>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</si>
  <si>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</si>
  <si>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</si>
  <si>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</si>
  <si>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</si>
  <si>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</si>
  <si>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</si>
  <si>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</si>
  <si>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</si>
  <si>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</si>
  <si>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</si>
  <si>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</si>
  <si>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</si>
  <si>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</si>
  <si>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</si>
  <si>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</si>
  <si>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</si>
  <si>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</si>
  <si>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</si>
  <si>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</si>
  <si>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</si>
  <si>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</si>
  <si>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</si>
  <si>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</si>
  <si>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</si>
  <si>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</si>
  <si>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</si>
  <si>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</si>
  <si>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</si>
  <si>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</si>
  <si>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</si>
  <si>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</si>
  <si>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</si>
  <si>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</si>
  <si>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</si>
  <si>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</si>
  <si>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</si>
  <si>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</si>
  <si>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</si>
  <si>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</si>
  <si>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</si>
  <si>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</si>
  <si>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</si>
  <si>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</si>
  <si>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</si>
  <si>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</si>
  <si>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</si>
  <si>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</si>
  <si>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</si>
  <si>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</si>
  <si>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</si>
  <si>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</si>
  <si>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</si>
  <si>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</si>
  <si>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</si>
  <si>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</si>
  <si>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</si>
  <si>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</si>
  <si>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</si>
  <si>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</si>
  <si>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</si>
  <si>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</si>
  <si>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</si>
  <si>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</si>
  <si>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</si>
  <si>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</si>
  <si>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</si>
  <si>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</si>
  <si>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</si>
  <si>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</si>
  <si>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</si>
  <si>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</si>
  <si>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</si>
  <si>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</si>
  <si>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</si>
  <si>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</si>
  <si>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</si>
  <si>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</si>
  <si>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</si>
  <si>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</si>
  <si>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</si>
  <si>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</si>
  <si>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</si>
  <si>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</si>
  <si>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</si>
  <si>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</si>
  <si>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</si>
  <si>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</si>
  <si>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</si>
  <si>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</si>
  <si>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</si>
  <si>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</si>
  <si>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</si>
  <si>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</si>
  <si>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</si>
  <si>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</si>
  <si>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</si>
  <si>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</si>
  <si>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</si>
  <si>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</si>
  <si>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</si>
  <si>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</si>
  <si>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</si>
  <si>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</si>
  <si>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</si>
  <si>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</si>
  <si>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</si>
  <si>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</si>
  <si>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</si>
  <si>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</si>
  <si>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</si>
  <si>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</si>
  <si>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</si>
  <si>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</si>
  <si>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</si>
  <si>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</si>
  <si>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</si>
  <si>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</si>
  <si>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</si>
  <si>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</si>
  <si>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</si>
  <si>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</si>
  <si>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</si>
  <si>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</si>
  <si>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</si>
  <si>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</si>
  <si>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</si>
  <si>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</si>
  <si>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</si>
  <si>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</si>
  <si>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</si>
  <si>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</si>
  <si>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</si>
  <si>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</si>
  <si>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</si>
  <si>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</si>
  <si>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</si>
  <si>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</si>
  <si>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</si>
  <si>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</si>
  <si>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</si>
  <si>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</si>
  <si>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</si>
  <si>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</si>
  <si>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</si>
  <si>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</si>
  <si>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</si>
  <si>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</si>
  <si>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</si>
  <si>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</si>
  <si>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</si>
  <si>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</si>
  <si>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</si>
  <si>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</si>
  <si>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</si>
  <si>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</si>
  <si>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</si>
  <si>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</si>
  <si>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</si>
  <si>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</si>
  <si>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</si>
  <si>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</si>
  <si>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</si>
  <si>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</si>
  <si>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</si>
  <si>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</si>
  <si>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</si>
  <si>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</si>
  <si>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</si>
  <si>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</si>
  <si>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</si>
  <si>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</si>
  <si>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</si>
  <si>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</si>
  <si>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</si>
  <si>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</si>
  <si>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</si>
  <si>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</si>
  <si>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</si>
  <si>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</si>
  <si>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</si>
  <si>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</si>
  <si>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</si>
  <si>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</si>
  <si>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</si>
  <si>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</si>
  <si>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</si>
  <si>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</si>
  <si>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</si>
  <si>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</si>
  <si>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</si>
  <si>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</si>
  <si>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</si>
  <si>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</si>
  <si>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</si>
  <si>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</si>
  <si>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</si>
  <si>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</si>
  <si>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</si>
  <si>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</si>
  <si>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</si>
  <si>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</si>
  <si>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</si>
  <si>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</si>
  <si>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</si>
  <si>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</si>
  <si>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</si>
  <si>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</si>
  <si>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</si>
  <si>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</si>
  <si>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</si>
  <si>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</si>
  <si>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</si>
  <si>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</si>
  <si>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</si>
  <si>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</si>
  <si>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</si>
  <si>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</si>
  <si>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</si>
  <si>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</si>
  <si>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</si>
  <si>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</si>
  <si>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</si>
  <si>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</si>
  <si>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</si>
  <si>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</si>
  <si>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</si>
  <si>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</si>
  <si>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</si>
  <si>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</si>
  <si>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</si>
  <si>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</si>
  <si>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</si>
  <si>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</si>
  <si>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</si>
  <si>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</si>
  <si>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</si>
  <si>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</si>
  <si>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</si>
  <si>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</si>
  <si>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</si>
  <si>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</si>
  <si>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</si>
  <si>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</si>
  <si>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</si>
  <si>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</si>
  <si>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</si>
  <si>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</si>
  <si>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</si>
  <si>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</si>
  <si>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</si>
  <si>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</si>
  <si>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</si>
  <si>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</si>
  <si>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</si>
  <si>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</si>
  <si>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</si>
  <si>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</si>
  <si>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</si>
  <si>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</si>
  <si>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</si>
  <si>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</si>
  <si>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</si>
  <si>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</si>
  <si>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</si>
  <si>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</si>
  <si>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</si>
  <si>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</si>
  <si>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</si>
  <si>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</si>
  <si>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</si>
  <si>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</si>
  <si>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</si>
  <si>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</si>
  <si>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</si>
  <si>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</si>
  <si>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</si>
  <si>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</si>
  <si>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</si>
  <si>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</si>
  <si>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</si>
  <si>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</si>
  <si>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</si>
  <si>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</si>
  <si>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</si>
  <si>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</si>
  <si>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</si>
  <si>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</si>
  <si>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</si>
  <si>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</si>
  <si>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</si>
  <si>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</si>
  <si>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</si>
  <si>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</si>
  <si>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</si>
  <si>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</si>
  <si>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</si>
  <si>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</si>
  <si>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</si>
  <si>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</si>
  <si>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</si>
  <si>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</si>
  <si>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</si>
  <si>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</si>
  <si>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</si>
  <si>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</si>
  <si>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</si>
  <si>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</si>
  <si>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</si>
  <si>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</si>
  <si>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</si>
  <si>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</si>
  <si>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</si>
  <si>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</si>
  <si>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</si>
  <si>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</si>
  <si>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</si>
  <si>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</si>
  <si>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</si>
  <si>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</si>
  <si>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</si>
  <si>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</si>
  <si>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</si>
  <si>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</si>
  <si>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</si>
  <si>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</si>
  <si>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</si>
  <si>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</si>
  <si>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</si>
  <si>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</si>
  <si>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</si>
  <si>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</si>
  <si>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</si>
  <si>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</si>
  <si>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</si>
  <si>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</si>
  <si>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</si>
  <si>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</si>
  <si>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</si>
  <si>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</si>
  <si>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</si>
  <si>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</si>
  <si>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</si>
  <si>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</si>
  <si>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</si>
  <si>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</si>
  <si>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</si>
  <si>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</si>
  <si>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</si>
  <si>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</si>
  <si>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</si>
  <si>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</si>
  <si>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</si>
  <si>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</si>
  <si>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</si>
  <si>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</si>
  <si>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</si>
  <si>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</si>
  <si>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</si>
  <si>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</si>
  <si>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</si>
  <si>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</si>
  <si>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</si>
  <si>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</si>
  <si>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</si>
  <si>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</si>
  <si>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</si>
  <si>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</si>
  <si>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</si>
  <si>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</si>
  <si>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</si>
  <si>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</si>
  <si>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</si>
  <si>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</si>
  <si>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</si>
  <si>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</si>
  <si>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</si>
  <si>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</si>
  <si>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</si>
  <si>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</si>
  <si>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</si>
  <si>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</si>
  <si>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</si>
  <si>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</si>
  <si>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</si>
  <si>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</si>
  <si>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</si>
  <si>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</si>
  <si>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</si>
  <si>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</si>
  <si>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</si>
  <si>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</si>
  <si>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</si>
  <si>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</si>
  <si>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</si>
  <si>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</si>
  <si>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</si>
  <si>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</si>
  <si>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</si>
  <si>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</si>
  <si>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</si>
  <si>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</si>
  <si>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</si>
  <si>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</si>
  <si>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</si>
  <si>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</si>
  <si>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</si>
  <si>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</si>
  <si>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</si>
  <si>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</si>
  <si>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</si>
  <si>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</si>
  <si>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</si>
  <si>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</si>
  <si>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</si>
  <si>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</si>
  <si>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</si>
  <si>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</si>
  <si>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</si>
  <si>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</si>
  <si>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</si>
  <si>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</si>
  <si>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</si>
  <si>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</si>
  <si>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</si>
  <si>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</si>
  <si>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</si>
  <si>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</si>
  <si>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</si>
  <si>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</si>
  <si>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</si>
  <si>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</si>
  <si>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</si>
  <si>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</si>
  <si>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</si>
  <si>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</si>
  <si>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</si>
  <si>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</si>
  <si>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</si>
  <si>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</si>
  <si>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</si>
  <si>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</si>
  <si>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</si>
  <si>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</si>
  <si>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</si>
  <si>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</si>
  <si>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</si>
  <si>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</si>
  <si>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</si>
  <si>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</si>
  <si>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</si>
  <si>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</si>
  <si>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</si>
  <si>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</si>
  <si>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</si>
  <si>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</si>
  <si>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</si>
  <si>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</si>
  <si>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</si>
  <si>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</si>
  <si>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</si>
  <si>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</si>
  <si>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</si>
  <si>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</si>
  <si>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</si>
  <si>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</si>
  <si>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</si>
  <si>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</si>
  <si>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</si>
  <si>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</si>
  <si>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</si>
  <si>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</si>
  <si>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</si>
  <si>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</si>
  <si>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</si>
  <si>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</si>
  <si>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</si>
  <si>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</si>
  <si>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</si>
  <si>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</si>
  <si>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</si>
  <si>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</si>
  <si>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</si>
  <si>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</si>
  <si>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</si>
  <si>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</si>
  <si>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</si>
  <si>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</si>
  <si>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</si>
  <si>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</si>
  <si>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</si>
  <si>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</si>
  <si>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</si>
  <si>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</si>
  <si>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</si>
  <si>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</si>
  <si>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</si>
  <si>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</si>
  <si>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</si>
  <si>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</si>
  <si>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</si>
  <si>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</si>
  <si>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</si>
  <si>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</si>
  <si>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</si>
  <si>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</si>
  <si>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</si>
  <si>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</si>
  <si>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</si>
  <si>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</si>
  <si>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</si>
  <si>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</si>
  <si>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</si>
  <si>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</si>
  <si>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</si>
  <si>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</si>
  <si>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</si>
  <si>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</si>
  <si>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</si>
  <si>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</si>
  <si>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</si>
  <si>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</si>
  <si>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</si>
  <si>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</si>
  <si>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</si>
  <si>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</si>
  <si>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</si>
  <si>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</si>
  <si>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</si>
  <si>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</si>
  <si>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</si>
  <si>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</si>
  <si>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</si>
  <si>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</si>
  <si>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</si>
  <si>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</si>
  <si>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</si>
  <si>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</si>
  <si>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</si>
  <si>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</si>
  <si>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</si>
  <si>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</si>
  <si>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</si>
  <si>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</si>
  <si>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</si>
  <si>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</si>
  <si>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</si>
  <si>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</si>
  <si>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</si>
  <si>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</si>
  <si>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</si>
  <si>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</si>
  <si>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</si>
  <si>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</si>
  <si>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</si>
  <si>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</si>
  <si>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</si>
  <si>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</si>
  <si>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</si>
  <si>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</si>
  <si>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</si>
  <si>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</si>
  <si>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</si>
  <si>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</si>
  <si>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</si>
  <si>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</si>
  <si>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</si>
  <si>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</si>
  <si>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</si>
  <si>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</si>
  <si>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</si>
  <si>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</si>
  <si>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</si>
  <si>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</si>
  <si>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</si>
  <si>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</si>
  <si>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</si>
  <si>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</si>
  <si>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</si>
  <si>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</si>
  <si>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</si>
  <si>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</si>
  <si>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</si>
  <si>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</si>
  <si>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</si>
  <si>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</si>
  <si>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</si>
  <si>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</si>
  <si>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</si>
  <si>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</si>
  <si>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</si>
  <si>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</si>
  <si>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</si>
  <si>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</si>
  <si>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</si>
  <si>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</si>
  <si>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</si>
  <si>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</si>
  <si>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</si>
  <si>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</si>
  <si>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</si>
  <si>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</si>
  <si>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</si>
  <si>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</si>
  <si>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</si>
  <si>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</si>
  <si>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</si>
  <si>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</si>
  <si>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</si>
  <si>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</si>
  <si>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</si>
  <si>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</si>
  <si>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</si>
  <si>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</si>
  <si>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</si>
  <si>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</si>
  <si>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</si>
  <si>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</si>
  <si>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</si>
  <si>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</si>
  <si>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</si>
  <si>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</si>
  <si>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</si>
  <si>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</si>
  <si>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</si>
  <si>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</si>
  <si>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</si>
  <si>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</si>
  <si>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</si>
  <si>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</si>
  <si>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</si>
  <si>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</si>
  <si>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</si>
  <si>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</si>
  <si>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</si>
  <si>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</si>
  <si>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</si>
  <si>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</si>
  <si>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</si>
  <si>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</si>
  <si>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</si>
  <si>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</si>
  <si>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</si>
  <si>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</si>
  <si>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</si>
  <si>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</si>
  <si>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</si>
  <si>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</si>
  <si>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</si>
  <si>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</si>
  <si>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</si>
  <si>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</si>
  <si>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</si>
  <si>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</si>
  <si>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</si>
  <si>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</si>
  <si>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</si>
  <si>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</si>
  <si>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</si>
  <si>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</si>
  <si>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</si>
  <si>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</si>
  <si>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</si>
  <si>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</si>
  <si>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</si>
  <si>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</si>
  <si>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</si>
  <si>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</si>
  <si>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</si>
  <si>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</si>
  <si>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</si>
  <si>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</si>
  <si>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</si>
  <si>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</si>
  <si>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</si>
  <si>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</si>
  <si>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</si>
  <si>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</si>
  <si>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</si>
  <si>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</si>
  <si>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</si>
  <si>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</si>
  <si>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</si>
  <si>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</si>
  <si>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</si>
  <si>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</si>
  <si>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</si>
  <si>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</si>
  <si>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</si>
  <si>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</si>
  <si>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</si>
  <si>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</si>
  <si>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</si>
  <si>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</si>
  <si>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</si>
  <si>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</si>
  <si>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</si>
  <si>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</si>
  <si>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</si>
  <si>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</si>
  <si>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</si>
  <si>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</si>
  <si>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</si>
  <si>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</si>
  <si>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</si>
  <si>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</si>
  <si>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</si>
  <si>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</si>
  <si>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</si>
  <si>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</si>
  <si>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</si>
  <si>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</si>
  <si>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</si>
  <si>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</si>
  <si>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</si>
  <si>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</si>
  <si>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</si>
  <si>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</si>
  <si>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</si>
  <si>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</si>
  <si>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</si>
  <si>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</si>
  <si>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</si>
  <si>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</si>
  <si>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</si>
  <si>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</si>
  <si>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</si>
  <si>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</si>
  <si>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</si>
  <si>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</si>
  <si>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</si>
  <si>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</si>
  <si>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</si>
  <si>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</si>
  <si>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</si>
  <si>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</si>
  <si>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</si>
  <si>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</si>
  <si>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</si>
  <si>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</si>
  <si>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</si>
  <si>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</si>
  <si>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</si>
  <si>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</si>
  <si>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</si>
  <si>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</si>
  <si>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</si>
  <si>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</si>
  <si>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</si>
  <si>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</si>
  <si>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</si>
  <si>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</si>
  <si>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</si>
  <si>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</si>
  <si>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</si>
  <si>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</si>
  <si>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</si>
  <si>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</si>
  <si>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</si>
  <si>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</si>
  <si>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</si>
  <si>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</si>
  <si>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</si>
  <si>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</si>
  <si>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</si>
  <si>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</si>
  <si>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</si>
  <si>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</si>
  <si>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</si>
  <si>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</si>
  <si>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</si>
  <si>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</si>
  <si>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</si>
  <si>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</si>
  <si>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</si>
  <si>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</si>
  <si>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</si>
  <si>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</si>
  <si>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</si>
  <si>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</si>
  <si>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</si>
  <si>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</si>
  <si>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</si>
  <si>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</si>
  <si>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</si>
  <si>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</si>
  <si>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</si>
  <si>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</si>
  <si>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</si>
  <si>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</si>
  <si>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</si>
  <si>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</si>
  <si>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</si>
  <si>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</si>
  <si>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</si>
  <si>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</si>
  <si>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</si>
  <si>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</si>
  <si>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</si>
  <si>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</si>
  <si>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</si>
  <si>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</si>
  <si>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</si>
  <si>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</si>
  <si>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</si>
  <si>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</si>
  <si>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</si>
  <si>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</si>
  <si>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</si>
  <si>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</si>
  <si>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</si>
  <si>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</si>
  <si>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</si>
  <si>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</si>
  <si>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</si>
  <si>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</si>
  <si>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</si>
  <si>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</si>
  <si>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</si>
  <si>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</si>
  <si>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</si>
  <si>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</si>
  <si>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</si>
  <si>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</si>
  <si>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</si>
  <si>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</si>
  <si>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</si>
  <si>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</si>
  <si>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</si>
  <si>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</si>
  <si>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</si>
  <si>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</si>
  <si>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</si>
  <si>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</si>
  <si>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</si>
  <si>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</si>
  <si>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</si>
  <si>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</si>
  <si>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</si>
  <si>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</si>
  <si>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</si>
  <si>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</si>
  <si>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</si>
  <si>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</si>
  <si>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</si>
  <si>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</si>
  <si>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</si>
  <si>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</si>
  <si>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</si>
  <si>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</si>
  <si>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</si>
  <si>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</si>
  <si>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</si>
  <si>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</si>
  <si>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</si>
  <si>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</si>
  <si>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</si>
  <si>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</si>
  <si>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</si>
  <si>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</si>
  <si>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</si>
  <si>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</si>
  <si>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</si>
  <si>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</si>
  <si>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</si>
  <si>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</si>
  <si>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</si>
  <si>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</si>
  <si>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</si>
  <si>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</si>
  <si>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</si>
  <si>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</si>
  <si>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</si>
  <si>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</si>
  <si>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</si>
  <si>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</si>
  <si>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</si>
  <si>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</si>
  <si>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</si>
  <si>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</si>
  <si>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</si>
  <si>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</si>
  <si>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</si>
  <si>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</si>
  <si>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</si>
  <si>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</si>
  <si>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</si>
  <si>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</si>
  <si>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</si>
  <si>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</si>
  <si>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</si>
  <si>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</si>
  <si>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</si>
  <si>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</si>
  <si>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</si>
  <si>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</si>
  <si>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</si>
  <si>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</si>
  <si>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</si>
  <si>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</si>
  <si>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</si>
  <si>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</si>
  <si>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</si>
  <si>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</si>
  <si>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</si>
  <si>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</si>
  <si>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</si>
  <si>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</si>
  <si>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</si>
  <si>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</si>
  <si>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</si>
  <si>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</si>
  <si>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</si>
  <si>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</si>
  <si>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</si>
  <si>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</si>
  <si>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</si>
  <si>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</si>
  <si>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</si>
  <si>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</si>
  <si>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</si>
  <si>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</si>
  <si>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</si>
  <si>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</si>
  <si>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</si>
  <si>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</si>
  <si>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</si>
  <si>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</si>
  <si>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</si>
  <si>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</si>
  <si>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</si>
  <si>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</si>
  <si>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</si>
  <si>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</si>
  <si>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</si>
  <si>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</si>
  <si>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</si>
  <si>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</si>
  <si>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</si>
  <si>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</si>
  <si>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</si>
  <si>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</si>
  <si>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</si>
  <si>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</si>
  <si>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</si>
  <si>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</si>
  <si>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</si>
  <si>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</si>
  <si>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</si>
  <si>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</si>
  <si>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</si>
  <si>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</si>
  <si>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</si>
  <si>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</si>
  <si>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</si>
  <si>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</si>
  <si>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</si>
  <si>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</si>
  <si>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</si>
  <si>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</si>
  <si>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</si>
  <si>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</si>
  <si>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</si>
  <si>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</si>
  <si>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</si>
  <si>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</si>
  <si>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</si>
  <si>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</si>
  <si>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</si>
  <si>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</si>
  <si>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</si>
  <si>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</si>
  <si>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</si>
  <si>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</si>
  <si>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</si>
  <si>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</si>
  <si>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</si>
  <si>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</si>
  <si>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</si>
  <si>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</si>
  <si>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</si>
  <si>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</si>
  <si>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</si>
  <si>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</si>
  <si>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</si>
  <si>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</si>
  <si>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</si>
  <si>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</si>
  <si>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</si>
  <si>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</si>
  <si>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</si>
  <si>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</si>
  <si>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</si>
  <si>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</si>
  <si>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</si>
  <si>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</si>
  <si>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</si>
  <si>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</si>
  <si>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</si>
  <si>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</si>
  <si>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</si>
  <si>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</si>
  <si>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</si>
  <si>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</si>
  <si>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</si>
  <si>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</si>
  <si>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</si>
  <si>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</si>
  <si>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</si>
  <si>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</si>
  <si>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</si>
  <si>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</si>
  <si>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</si>
  <si>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</si>
  <si>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</si>
  <si>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</si>
  <si>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</si>
  <si>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</si>
  <si>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</si>
  <si>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</si>
  <si>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</si>
  <si>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</si>
  <si>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</si>
  <si>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</si>
  <si>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</si>
  <si>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</si>
  <si>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</si>
  <si>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</si>
  <si>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</si>
  <si>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</si>
  <si>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</si>
  <si>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</si>
  <si>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</si>
  <si>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</si>
  <si>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</si>
  <si>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</si>
  <si>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</si>
  <si>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</si>
  <si>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</si>
  <si>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</si>
  <si>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</si>
  <si>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</si>
  <si>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</si>
  <si>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</si>
  <si>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</si>
  <si>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</si>
  <si>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</si>
  <si>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</si>
  <si>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</si>
  <si>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</si>
  <si>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</si>
  <si>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</si>
  <si>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</si>
  <si>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</si>
  <si>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</si>
  <si>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</si>
  <si>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</si>
  <si>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</si>
  <si>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</si>
  <si>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</si>
  <si>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</si>
  <si>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</si>
  <si>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</si>
  <si>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</si>
  <si>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</si>
  <si>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</si>
  <si>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</si>
  <si>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</si>
  <si>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</si>
  <si>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</si>
  <si>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</si>
  <si>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</si>
  <si>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</si>
  <si>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</si>
  <si>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</si>
  <si>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</si>
  <si>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</si>
  <si>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</si>
  <si>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</si>
  <si>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</si>
  <si>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</si>
  <si>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</si>
  <si>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</si>
  <si>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</si>
  <si>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</si>
  <si>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</si>
  <si>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</si>
  <si>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</si>
  <si>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</si>
  <si>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</si>
  <si>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</si>
  <si>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</si>
  <si>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</si>
  <si>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</si>
  <si>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</si>
  <si>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</si>
  <si>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</si>
  <si>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</si>
  <si>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</si>
  <si>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</si>
  <si>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</si>
  <si>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</si>
  <si>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</si>
  <si>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</si>
  <si>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</si>
  <si>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</si>
  <si>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</si>
  <si>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</si>
  <si>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</si>
  <si>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</si>
  <si>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</si>
  <si>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</si>
  <si>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</si>
  <si>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</si>
  <si>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</si>
  <si>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</si>
  <si>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</si>
  <si>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</si>
  <si>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</si>
  <si>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</si>
  <si>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</si>
  <si>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</si>
  <si>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</si>
  <si>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</si>
  <si>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</si>
  <si>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</si>
  <si>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</si>
  <si>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</si>
  <si>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</si>
  <si>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</si>
  <si>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</si>
  <si>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</si>
  <si>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</si>
  <si>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</si>
  <si>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</si>
  <si>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</si>
  <si>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</si>
  <si>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</si>
  <si>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</si>
  <si>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</si>
  <si>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</si>
  <si>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</si>
  <si>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</si>
  <si>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</si>
  <si>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</si>
  <si>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</si>
  <si>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</si>
  <si>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</si>
  <si>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</si>
  <si>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</si>
  <si>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</si>
  <si>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</si>
  <si>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</si>
  <si>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</si>
  <si>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</si>
  <si>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</si>
  <si>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</si>
  <si>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</si>
  <si>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</si>
  <si>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</si>
  <si>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</si>
  <si>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</si>
  <si>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</si>
  <si>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</si>
  <si>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</si>
  <si>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</si>
  <si>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</si>
  <si>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</si>
  <si>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</si>
  <si>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</si>
  <si>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</si>
  <si>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</si>
  <si>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</si>
  <si>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</si>
  <si>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</si>
  <si>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</si>
  <si>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</si>
  <si>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</si>
  <si>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</si>
  <si>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</si>
  <si>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</si>
  <si>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</si>
  <si>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</si>
  <si>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</si>
  <si>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</si>
  <si>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</si>
  <si>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</si>
  <si>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</si>
  <si>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</si>
  <si>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</si>
  <si>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</si>
  <si>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</si>
  <si>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</si>
  <si>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</si>
  <si>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</si>
  <si>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</si>
  <si>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</si>
  <si>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</si>
  <si>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</si>
  <si>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</si>
  <si>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</si>
  <si>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</si>
  <si>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</si>
  <si>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</si>
  <si>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</si>
  <si>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</si>
  <si>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</si>
  <si>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</si>
  <si>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</si>
  <si>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</si>
  <si>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</si>
  <si>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</si>
  <si>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</si>
  <si>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</si>
  <si>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</si>
  <si>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</si>
  <si>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</si>
  <si>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</si>
  <si>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</si>
  <si>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</si>
  <si>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</si>
  <si>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</si>
  <si>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</si>
  <si>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</si>
  <si>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</si>
  <si>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</si>
  <si>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</si>
  <si>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</si>
  <si>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</si>
  <si>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</si>
  <si>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</si>
  <si>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</si>
  <si>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</si>
  <si>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</si>
  <si>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</si>
  <si>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</si>
  <si>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</si>
  <si>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</si>
  <si>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</si>
  <si>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</si>
  <si>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</si>
  <si>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</si>
  <si>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</si>
  <si>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</si>
  <si>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</si>
  <si>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</si>
  <si>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</si>
  <si>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</si>
  <si>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</si>
  <si>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</si>
  <si>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</si>
  <si>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</si>
  <si>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</si>
  <si>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</si>
  <si>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</si>
  <si>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</si>
  <si>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</si>
  <si>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</si>
  <si>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</si>
  <si>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</si>
  <si>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</si>
  <si>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</si>
  <si>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</si>
  <si>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</si>
  <si>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</si>
  <si>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</si>
  <si>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</si>
  <si>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</si>
  <si>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</si>
  <si>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</si>
  <si>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</si>
  <si>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</si>
  <si>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</si>
  <si>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</si>
  <si>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</si>
  <si>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</si>
  <si>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</si>
  <si>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</si>
  <si>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</si>
  <si>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</si>
  <si>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</si>
  <si>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</si>
  <si>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</si>
  <si>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</si>
  <si>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</si>
  <si>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</si>
  <si>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</si>
  <si>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</si>
  <si>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</si>
  <si>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</si>
  <si>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</si>
  <si>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</si>
  <si>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</si>
  <si>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</si>
  <si>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</si>
  <si>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</si>
  <si>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</si>
  <si>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</si>
  <si>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</si>
  <si>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</si>
  <si>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</si>
  <si>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</si>
  <si>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</si>
  <si>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</si>
  <si>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</si>
  <si>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</si>
  <si>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</si>
  <si>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</si>
  <si>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</si>
  <si>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</si>
  <si>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</si>
  <si>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</si>
  <si>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</si>
  <si>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</si>
  <si>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</si>
  <si>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</si>
  <si>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</si>
  <si>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</si>
  <si>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</si>
  <si>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</si>
  <si>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</si>
  <si>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</si>
  <si>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</si>
  <si>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</si>
  <si>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</si>
  <si>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</si>
  <si>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</si>
  <si>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</si>
  <si>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</si>
  <si>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</si>
  <si>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</si>
  <si>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</si>
  <si>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</si>
  <si>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</si>
  <si>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</si>
  <si>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</si>
  <si>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</si>
  <si>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</si>
  <si>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</si>
  <si>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</si>
  <si>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</si>
  <si>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</si>
  <si>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</si>
  <si>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</si>
  <si>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</si>
  <si>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</si>
  <si>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</si>
  <si>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</si>
  <si>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</si>
  <si>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</si>
  <si>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</si>
  <si>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</si>
  <si>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</si>
  <si>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</si>
  <si>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</si>
  <si>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</si>
  <si>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</si>
  <si>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</si>
  <si>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</si>
  <si>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</si>
  <si>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</si>
  <si>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</si>
  <si>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</si>
  <si>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</si>
  <si>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</si>
  <si>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</si>
  <si>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</si>
  <si>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</si>
  <si>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</si>
  <si>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</si>
  <si>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</si>
  <si>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</si>
  <si>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</si>
  <si>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</si>
  <si>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</si>
  <si>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</si>
  <si>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</si>
  <si>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</si>
  <si>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</si>
  <si>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</si>
  <si>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</si>
  <si>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</si>
  <si>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</si>
  <si>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</si>
  <si>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</si>
  <si>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</si>
  <si>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</si>
  <si>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</si>
  <si>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</si>
  <si>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</si>
  <si>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</si>
  <si>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</si>
  <si>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</si>
  <si>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</si>
  <si>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</si>
  <si>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</si>
  <si>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</si>
  <si>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</si>
  <si>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</si>
  <si>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</si>
  <si>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</si>
  <si>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</si>
  <si>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</si>
  <si>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</si>
  <si>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</si>
  <si>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</si>
  <si>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</si>
  <si>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</si>
  <si>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</si>
  <si>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</si>
  <si>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</si>
  <si>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</si>
  <si>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</si>
  <si>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</si>
  <si>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</si>
  <si>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</si>
  <si>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</si>
  <si>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</si>
  <si>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</si>
  <si>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</si>
  <si>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</si>
  <si>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</si>
  <si>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</si>
  <si>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</si>
  <si>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</si>
  <si>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</si>
  <si>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</si>
  <si>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</si>
  <si>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</si>
  <si>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</si>
  <si>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</si>
  <si>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</si>
  <si>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</si>
  <si>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</si>
  <si>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</si>
  <si>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</si>
  <si>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</si>
  <si>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</si>
  <si>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</si>
  <si>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</si>
  <si>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</si>
  <si>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</si>
  <si>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</si>
  <si>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</si>
  <si>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</si>
  <si>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</si>
  <si>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</si>
  <si>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</si>
  <si>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</si>
  <si>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</si>
  <si>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</si>
  <si>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</si>
  <si>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</si>
  <si>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</si>
  <si>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</si>
  <si>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</si>
  <si>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</si>
  <si>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</si>
  <si>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</si>
  <si>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</si>
  <si>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</si>
  <si>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</si>
  <si>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</si>
  <si>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</si>
  <si>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</si>
  <si>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</si>
  <si>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</si>
  <si>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</si>
  <si>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</si>
  <si>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</si>
  <si>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</si>
  <si>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</si>
  <si>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</si>
  <si>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</si>
  <si>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</si>
  <si>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</si>
  <si>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</si>
  <si>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</si>
  <si>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</si>
  <si>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</si>
  <si>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</si>
  <si>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</si>
  <si>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</si>
  <si>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</si>
  <si>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</si>
  <si>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</si>
  <si>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</si>
  <si>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</si>
  <si>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</si>
  <si>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</si>
  <si>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</si>
  <si>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</si>
  <si>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</si>
  <si>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</si>
  <si>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</si>
  <si>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</si>
  <si>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</si>
  <si>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</si>
  <si>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</si>
  <si>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</si>
  <si>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</si>
  <si>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</si>
  <si>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</si>
  <si>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</si>
  <si>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</si>
  <si>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</si>
  <si>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</si>
  <si>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</si>
  <si>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</si>
  <si>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</si>
  <si>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</si>
  <si>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</si>
  <si>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</si>
  <si>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</si>
  <si>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</si>
  <si>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</si>
  <si>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</si>
  <si>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</si>
  <si>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</si>
  <si>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</si>
  <si>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</si>
  <si>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</si>
  <si>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</si>
  <si>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</si>
  <si>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</si>
  <si>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</si>
  <si>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</si>
  <si>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</si>
  <si>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</si>
  <si>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</si>
  <si>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</si>
  <si>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</si>
  <si>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</si>
  <si>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</si>
  <si>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</si>
  <si>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</si>
  <si>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</si>
  <si>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</si>
  <si>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</si>
  <si>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</si>
  <si>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</si>
  <si>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</si>
  <si>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</si>
  <si>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</si>
  <si>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</si>
  <si>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</si>
  <si>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</si>
  <si>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</si>
  <si>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</si>
  <si>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</si>
  <si>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</si>
  <si>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</si>
  <si>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</si>
  <si>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</si>
  <si>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</si>
  <si>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</si>
  <si>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</si>
  <si>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</si>
  <si>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</si>
  <si>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</si>
  <si>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</si>
  <si>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</si>
  <si>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</si>
  <si>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</si>
  <si>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</si>
  <si>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</si>
  <si>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</si>
  <si>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</si>
  <si>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</si>
  <si>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</si>
  <si>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</si>
  <si>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</si>
  <si>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</si>
  <si>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</si>
  <si>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</si>
  <si>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</si>
  <si>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</si>
  <si>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</si>
  <si>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</si>
  <si>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</si>
  <si>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</si>
  <si>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</si>
  <si>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</si>
  <si>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</si>
  <si>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</si>
  <si>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</si>
  <si>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</si>
  <si>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</si>
  <si>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</si>
  <si>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</si>
  <si>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</si>
  <si>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</si>
  <si>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</si>
  <si>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</si>
  <si>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</si>
  <si>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</si>
  <si>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</si>
  <si>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</si>
  <si>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</si>
  <si>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</si>
  <si>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</si>
  <si>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</si>
  <si>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</si>
  <si>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</si>
  <si>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</si>
  <si>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</si>
  <si>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</si>
  <si>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</si>
  <si>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</si>
  <si>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</si>
  <si>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</si>
  <si>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</si>
  <si>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</si>
  <si>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</si>
  <si>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</si>
  <si>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</si>
  <si>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</si>
  <si>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</si>
  <si>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</si>
  <si>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</si>
  <si>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</si>
  <si>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</si>
  <si>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</si>
  <si>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</si>
  <si>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</si>
  <si>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</si>
  <si>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</si>
  <si>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</si>
  <si>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</si>
  <si>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</si>
  <si>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</si>
  <si>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</si>
  <si>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</si>
  <si>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</si>
  <si>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</si>
  <si>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</si>
  <si>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</si>
  <si>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</si>
  <si>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</si>
  <si>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</si>
  <si>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</si>
  <si>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</si>
  <si>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</si>
  <si>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</si>
  <si>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</si>
  <si>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</si>
  <si>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</si>
  <si>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</si>
  <si>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</si>
  <si>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</si>
  <si>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</si>
  <si>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</si>
  <si>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</si>
  <si>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</si>
  <si>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</si>
  <si>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</si>
  <si>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</si>
  <si>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</si>
  <si>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</si>
  <si>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</si>
  <si>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</si>
  <si>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</si>
  <si>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</si>
  <si>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</si>
  <si>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</si>
  <si>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</si>
  <si>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</si>
  <si>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</si>
  <si>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</si>
  <si>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</si>
  <si>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</si>
  <si>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</si>
  <si>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</si>
  <si>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</si>
  <si>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</si>
  <si>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</si>
  <si>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</si>
  <si>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</si>
  <si>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</si>
  <si>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</si>
  <si>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</si>
  <si>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</si>
  <si>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</si>
  <si>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</si>
  <si>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</si>
  <si>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</si>
  <si>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</si>
  <si>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</si>
  <si>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</si>
  <si>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</si>
  <si>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</si>
  <si>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</si>
  <si>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</si>
  <si>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</si>
  <si>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</si>
  <si>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</si>
  <si>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</si>
  <si>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</si>
  <si>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</si>
  <si>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</si>
  <si>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</si>
  <si>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</si>
  <si>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</si>
  <si>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</si>
  <si>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</si>
  <si>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</si>
  <si>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</si>
  <si>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</si>
  <si>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</si>
  <si>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</si>
  <si>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</si>
  <si>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</si>
  <si>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</si>
  <si>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</si>
  <si>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</si>
  <si>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</si>
  <si>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</si>
  <si>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</si>
  <si>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</si>
  <si>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</si>
  <si>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</si>
  <si>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</si>
  <si>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</si>
  <si>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</si>
  <si>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</si>
  <si>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</si>
  <si>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</si>
  <si>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</si>
  <si>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</si>
  <si>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</si>
  <si>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</si>
  <si>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</si>
  <si>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</si>
  <si>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</si>
  <si>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</si>
  <si>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</si>
  <si>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</si>
  <si>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</si>
  <si>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</si>
  <si>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</si>
  <si>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</si>
  <si>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</si>
  <si>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</si>
  <si>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</si>
  <si>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</si>
  <si>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</si>
  <si>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</si>
  <si>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</si>
  <si>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</si>
  <si>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</si>
  <si>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</si>
  <si>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</si>
  <si>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</si>
  <si>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</si>
  <si>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</si>
  <si>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</si>
  <si>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</si>
  <si>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</si>
  <si>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</si>
  <si>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</si>
  <si>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</si>
  <si>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</si>
  <si>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</si>
  <si>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</si>
  <si>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</si>
  <si>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</si>
  <si>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</si>
  <si>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</si>
  <si>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</si>
  <si>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</si>
  <si>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</si>
  <si>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</si>
  <si>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</si>
  <si>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</si>
  <si>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</si>
  <si>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</si>
  <si>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</si>
  <si>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</si>
  <si>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</si>
  <si>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</si>
  <si>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</si>
  <si>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</si>
  <si>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</si>
  <si>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</si>
  <si>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</si>
  <si>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</si>
  <si>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</si>
  <si>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</si>
  <si>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</si>
  <si>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</si>
  <si>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</si>
  <si>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</si>
  <si>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</si>
  <si>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</si>
  <si>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</si>
  <si>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</si>
  <si>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</si>
  <si>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</si>
  <si>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</si>
  <si>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</si>
  <si>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</si>
  <si>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</si>
  <si>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</si>
  <si>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</si>
  <si>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</si>
  <si>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</si>
  <si>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</si>
  <si>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</si>
  <si>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</si>
  <si>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</si>
  <si>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</si>
  <si>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</si>
  <si>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</si>
  <si>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</si>
  <si>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</si>
  <si>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</si>
  <si>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</si>
  <si>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</si>
  <si>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</si>
  <si>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</si>
  <si>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</si>
  <si>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</si>
  <si>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</si>
  <si>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</si>
  <si>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</si>
  <si>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</si>
  <si>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</si>
  <si>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</si>
  <si>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</si>
  <si>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</si>
  <si>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</si>
  <si>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</si>
  <si>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</si>
  <si>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</si>
  <si>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</si>
  <si>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</si>
  <si>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</si>
  <si>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</si>
  <si>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</si>
  <si>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</si>
  <si>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</si>
  <si>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</si>
  <si>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</si>
  <si>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</si>
  <si>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</si>
  <si>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</si>
  <si>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</si>
  <si>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</si>
  <si>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</si>
  <si>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</si>
  <si>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</si>
  <si>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</si>
  <si>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</si>
  <si>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</si>
  <si>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</si>
  <si>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</si>
  <si>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</si>
  <si>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</si>
  <si>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</si>
  <si>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</si>
  <si>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</si>
  <si>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</si>
  <si>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</si>
  <si>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</si>
  <si>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</si>
  <si>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</si>
  <si>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</si>
  <si>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</si>
  <si>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</si>
  <si>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</si>
  <si>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</si>
  <si>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</si>
  <si>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</si>
  <si>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</si>
  <si>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</si>
  <si>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</si>
  <si>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</si>
  <si>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</si>
  <si>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</si>
  <si>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</si>
  <si>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</si>
  <si>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</si>
  <si>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</si>
  <si>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</si>
  <si>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</si>
  <si>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</si>
  <si>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</si>
  <si>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</si>
  <si>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</si>
  <si>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</si>
  <si>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</si>
  <si>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</si>
  <si>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</si>
  <si>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</si>
  <si>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</si>
  <si>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</si>
  <si>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</si>
  <si>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</si>
  <si>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</si>
  <si>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</si>
  <si>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</si>
  <si>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</si>
  <si>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</si>
  <si>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</si>
  <si>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</si>
  <si>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</si>
  <si>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</si>
  <si>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</si>
  <si>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</si>
  <si>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</si>
  <si>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</si>
  <si>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</si>
  <si>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</si>
  <si>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</si>
  <si>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</si>
  <si>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</si>
  <si>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</si>
  <si>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</si>
  <si>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</si>
  <si>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</si>
  <si>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</si>
  <si>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</si>
  <si>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</si>
  <si>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</si>
  <si>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</si>
  <si>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</si>
  <si>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</si>
  <si>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</si>
  <si>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</si>
  <si>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</si>
  <si>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</si>
  <si>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</si>
  <si>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</si>
  <si>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</si>
  <si>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</si>
  <si>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</si>
  <si>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</si>
  <si>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</si>
  <si>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</si>
  <si>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</si>
  <si>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</si>
  <si>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</si>
  <si>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</si>
  <si>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</si>
  <si>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</si>
  <si>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</si>
  <si>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</si>
  <si>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</si>
  <si>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</si>
  <si>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</si>
  <si>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</si>
  <si>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</si>
  <si>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</si>
  <si>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</si>
  <si>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</si>
  <si>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</si>
  <si>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</si>
  <si>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</si>
  <si>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</si>
  <si>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</si>
  <si>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</si>
  <si>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</si>
  <si>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</si>
  <si>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</si>
  <si>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</si>
  <si>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</si>
  <si>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</si>
  <si>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</si>
  <si>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</si>
  <si>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</si>
  <si>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</si>
  <si>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</si>
  <si>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</si>
  <si>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</si>
  <si>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</si>
  <si>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</si>
  <si>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</si>
  <si>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</si>
  <si>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</si>
  <si>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</si>
  <si>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</si>
  <si>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</si>
  <si>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</si>
  <si>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</si>
  <si>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</si>
  <si>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</si>
  <si>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</si>
  <si>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</si>
  <si>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</si>
  <si>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</si>
  <si>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</si>
  <si>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</si>
  <si>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</si>
  <si>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</si>
  <si>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</si>
  <si>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</si>
  <si>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</si>
  <si>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</si>
  <si>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</si>
  <si>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</si>
  <si>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</si>
  <si>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</si>
  <si>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</si>
  <si>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</si>
  <si>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</si>
  <si>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</si>
  <si>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</si>
  <si>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</si>
  <si>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</si>
  <si>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</si>
  <si>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</si>
  <si>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</si>
  <si>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</si>
  <si>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</si>
  <si>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</si>
  <si>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</si>
  <si>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</si>
  <si>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</si>
  <si>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</si>
  <si>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</si>
  <si>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</si>
  <si>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</si>
  <si>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</si>
  <si>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</si>
  <si>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</si>
  <si>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</si>
  <si>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</si>
  <si>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</si>
  <si>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</si>
  <si>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</si>
  <si>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</si>
  <si>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</si>
  <si>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</si>
  <si>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</si>
  <si>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</si>
  <si>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</si>
  <si>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</si>
  <si>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</si>
  <si>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</si>
  <si>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</si>
  <si>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</si>
  <si>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</si>
  <si>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</si>
  <si>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</si>
  <si>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</si>
  <si>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</si>
  <si>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</si>
  <si>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</si>
  <si>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</si>
  <si>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</si>
  <si>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</si>
  <si>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</si>
  <si>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</si>
  <si>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</si>
  <si>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</si>
  <si>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</si>
  <si>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</si>
  <si>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</si>
  <si>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</si>
  <si>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</si>
  <si>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</si>
  <si>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</si>
  <si>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</si>
  <si>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</si>
  <si>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</si>
  <si>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</si>
  <si>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</si>
  <si>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</si>
  <si>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</si>
  <si>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</si>
  <si>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</si>
  <si>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</si>
  <si>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</si>
  <si>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</si>
  <si>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</si>
  <si>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</si>
  <si>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</si>
  <si>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</si>
  <si>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</si>
  <si>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</si>
  <si>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</si>
  <si>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</si>
  <si>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</si>
  <si>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</si>
  <si>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</si>
  <si>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</si>
  <si>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</si>
  <si>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</si>
  <si>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</si>
  <si>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</si>
  <si>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</si>
  <si>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</si>
  <si>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</si>
  <si>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</si>
  <si>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</si>
  <si>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</si>
  <si>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</si>
  <si>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</si>
  <si>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</si>
  <si>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</si>
  <si>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</si>
  <si>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</si>
  <si>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</si>
  <si>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</si>
  <si>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</si>
  <si>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</si>
  <si>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</si>
  <si>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</si>
  <si>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</si>
  <si>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</si>
  <si>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</si>
  <si>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</si>
  <si>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</si>
  <si>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</si>
  <si>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</si>
  <si>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</si>
  <si>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</si>
  <si>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</si>
  <si>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</si>
  <si>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</si>
  <si>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</si>
  <si>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</si>
  <si>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</si>
  <si>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</si>
  <si>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</si>
  <si>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</si>
  <si>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</si>
  <si>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</si>
  <si>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</si>
  <si>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</si>
  <si>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</si>
  <si>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</si>
  <si>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</si>
  <si>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</si>
  <si>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</si>
  <si>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</si>
  <si>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</si>
  <si>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</si>
  <si>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</si>
  <si>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</si>
  <si>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</si>
  <si>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</si>
  <si>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</si>
  <si>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</si>
  <si>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</si>
  <si>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</si>
  <si>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</si>
  <si>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</si>
  <si>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</si>
  <si>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</si>
  <si>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</si>
  <si>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</si>
  <si>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</si>
  <si>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</si>
  <si>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</si>
  <si>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</si>
  <si>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</si>
  <si>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</si>
  <si>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</si>
  <si>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</si>
  <si>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</si>
  <si>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</si>
  <si>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</si>
  <si>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</si>
  <si>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</si>
  <si>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</si>
  <si>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</si>
  <si>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</si>
  <si>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</si>
  <si>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</si>
  <si>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</si>
  <si>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</si>
  <si>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</si>
  <si>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</si>
  <si>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</si>
  <si>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</si>
  <si>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</si>
  <si>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</si>
  <si>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</si>
  <si>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</si>
  <si>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</si>
  <si>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</si>
  <si>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</si>
  <si>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</si>
  <si>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</si>
  <si>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</si>
  <si>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</si>
  <si>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</si>
  <si>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</si>
  <si>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</si>
  <si>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</si>
  <si>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</si>
  <si>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</si>
  <si>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</si>
  <si>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</si>
  <si>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</si>
  <si>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</si>
  <si>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</si>
  <si>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</si>
  <si>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</si>
  <si>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</si>
  <si>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</si>
  <si>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</si>
  <si>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</si>
  <si>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</si>
  <si>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</si>
  <si>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</si>
  <si>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</si>
  <si>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</si>
  <si>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</si>
  <si>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</si>
  <si>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</si>
  <si>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</si>
  <si>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</si>
  <si>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</si>
  <si>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</si>
  <si>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</si>
  <si>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</si>
  <si>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</si>
  <si>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</si>
  <si>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</si>
  <si>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</si>
  <si>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</si>
  <si>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</si>
  <si>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</si>
  <si>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</si>
  <si>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</si>
  <si>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</si>
  <si>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</si>
  <si>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</si>
  <si>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</si>
  <si>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</si>
  <si>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</si>
  <si>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</si>
  <si>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</si>
  <si>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</si>
  <si>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</si>
  <si>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</si>
  <si>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</si>
  <si>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</si>
  <si>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</si>
  <si>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</si>
  <si>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</si>
  <si>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</si>
  <si>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</si>
  <si>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</si>
  <si>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</si>
  <si>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</si>
  <si>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</si>
  <si>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</si>
  <si>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</si>
  <si>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</si>
  <si>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</si>
  <si>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</si>
  <si>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</si>
  <si>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</si>
  <si>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</si>
  <si>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</si>
  <si>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</si>
  <si>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</si>
  <si>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</si>
  <si>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</si>
  <si>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</si>
  <si>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</si>
  <si>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</si>
  <si>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</si>
  <si>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</si>
  <si>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</si>
  <si>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</si>
  <si>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</si>
  <si>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</si>
  <si>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</si>
  <si>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</si>
  <si>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</si>
  <si>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</si>
  <si>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</si>
  <si>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</si>
  <si>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</si>
  <si>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</si>
  <si>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</si>
  <si>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</si>
  <si>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</si>
  <si>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</si>
  <si>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</si>
  <si>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</si>
  <si>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</si>
  <si>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</si>
  <si>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</si>
  <si>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</si>
  <si>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</si>
  <si>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</si>
  <si>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</si>
  <si>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</si>
  <si>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</si>
  <si>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</si>
  <si>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</si>
  <si>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</si>
  <si>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</si>
  <si>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</si>
  <si>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</si>
  <si>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</si>
  <si>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</si>
  <si>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</si>
  <si>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</si>
  <si>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</si>
  <si>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</si>
  <si>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</si>
  <si>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</si>
  <si>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</si>
  <si>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</si>
  <si>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</si>
  <si>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</si>
  <si>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</si>
  <si>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</si>
  <si>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</si>
  <si>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</si>
  <si>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</si>
  <si>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</si>
  <si>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</si>
  <si>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</si>
  <si>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</si>
  <si>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</si>
  <si>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</si>
  <si>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</si>
  <si>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</si>
  <si>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</si>
  <si>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</si>
  <si>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</si>
  <si>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</si>
  <si>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</si>
  <si>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</si>
  <si>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</si>
  <si>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</si>
  <si>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</si>
  <si>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</si>
  <si>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</si>
  <si>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</si>
  <si>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</si>
  <si>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</si>
  <si>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</si>
  <si>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</si>
  <si>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</si>
  <si>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</si>
  <si>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</si>
  <si>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</si>
  <si>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</si>
  <si>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</si>
  <si>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</si>
  <si>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</si>
  <si>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</si>
  <si>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</si>
  <si>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</si>
  <si>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</si>
  <si>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</si>
  <si>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</si>
  <si>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</si>
  <si>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</si>
  <si>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</si>
  <si>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</si>
  <si>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</si>
  <si>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</si>
  <si>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</si>
  <si>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</si>
  <si>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</si>
  <si>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</si>
  <si>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</si>
  <si>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</si>
  <si>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</si>
  <si>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</si>
  <si>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</si>
  <si>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</si>
  <si>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</si>
  <si>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</si>
  <si>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</si>
  <si>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</si>
  <si>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</si>
  <si>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</si>
  <si>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</si>
  <si>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</si>
  <si>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</si>
  <si>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</si>
  <si>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</si>
  <si>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</si>
  <si>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</si>
  <si>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</si>
  <si>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</si>
  <si>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</si>
  <si>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</si>
  <si>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</si>
  <si>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</si>
  <si>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</si>
  <si>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</si>
  <si>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</si>
  <si>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</si>
  <si>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</si>
  <si>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</si>
  <si>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</si>
  <si>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</si>
  <si>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</si>
  <si>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</si>
  <si>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</si>
  <si>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</si>
  <si>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</si>
  <si>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</si>
  <si>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</si>
  <si>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</si>
  <si>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</si>
  <si>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</si>
  <si>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</si>
  <si>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</si>
  <si>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</si>
  <si>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</si>
  <si>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</si>
  <si>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</si>
  <si>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</si>
  <si>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</si>
  <si>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</si>
  <si>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</si>
  <si>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</si>
  <si>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</si>
  <si>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</si>
  <si>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</si>
  <si>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</si>
  <si>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</si>
  <si>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</si>
  <si>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</si>
  <si>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</si>
  <si>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</si>
  <si>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</si>
  <si>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</si>
  <si>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</si>
  <si>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</si>
  <si>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</si>
  <si>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</si>
  <si>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</si>
  <si>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</si>
  <si>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</si>
  <si>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</si>
  <si>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</si>
  <si>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</si>
  <si>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</si>
  <si>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</si>
  <si>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</si>
  <si>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</si>
  <si>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</si>
  <si>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</si>
  <si>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</si>
  <si>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</si>
  <si>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</si>
  <si>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</si>
  <si>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</si>
  <si>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</si>
  <si>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</si>
  <si>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</si>
  <si>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</si>
  <si>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</si>
  <si>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</si>
  <si>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</si>
  <si>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</si>
  <si>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</si>
  <si>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</si>
  <si>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</si>
  <si>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</si>
  <si>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</si>
  <si>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</si>
  <si>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</si>
  <si>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</si>
  <si>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</si>
  <si>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</si>
  <si>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</si>
  <si>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</si>
  <si>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</si>
  <si>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</si>
  <si>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</si>
  <si>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</si>
  <si>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</si>
  <si>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</si>
  <si>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</si>
  <si>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</si>
  <si>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</si>
  <si>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</si>
  <si>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</si>
  <si>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</si>
  <si>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</si>
  <si>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</si>
  <si>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</si>
  <si>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</si>
  <si>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</si>
  <si>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</si>
  <si>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</si>
  <si>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</si>
  <si>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</si>
  <si>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</si>
  <si>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</si>
  <si>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</si>
  <si>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</si>
  <si>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</si>
  <si>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</si>
  <si>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</si>
  <si>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</si>
  <si>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</si>
  <si>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</si>
  <si>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</si>
  <si>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</si>
  <si>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</si>
  <si>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</si>
  <si>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</si>
  <si>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</si>
  <si>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</si>
  <si>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</si>
  <si>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</si>
  <si>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</si>
  <si>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</si>
  <si>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</si>
  <si>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</si>
  <si>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</si>
  <si>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</si>
  <si>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</si>
  <si>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</si>
  <si>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</si>
  <si>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</si>
  <si>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</si>
  <si>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</si>
  <si>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</si>
  <si>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</si>
  <si>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</si>
  <si>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</si>
  <si>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</si>
  <si>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</si>
  <si>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</si>
  <si>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</si>
  <si>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</si>
  <si>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</si>
  <si>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</si>
  <si>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</si>
  <si>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</si>
  <si>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</si>
  <si>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</si>
  <si>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</si>
  <si>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</si>
  <si>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</si>
  <si>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</si>
  <si>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</si>
  <si>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</si>
  <si>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</si>
  <si>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</si>
  <si>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</si>
  <si>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</si>
  <si>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</si>
  <si>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</si>
  <si>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</si>
  <si>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</si>
  <si>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</si>
  <si>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</si>
  <si>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</si>
  <si>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</si>
  <si>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</si>
  <si>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</si>
  <si>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</si>
  <si>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</si>
  <si>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</si>
  <si>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</si>
  <si>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</si>
  <si>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</si>
  <si>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</si>
  <si>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</si>
  <si>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</si>
  <si>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</si>
  <si>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</si>
  <si>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</si>
  <si>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</si>
  <si>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</si>
  <si>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</si>
  <si>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</si>
  <si>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</si>
  <si>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</si>
  <si>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</si>
  <si>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</si>
  <si>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</si>
  <si>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</si>
  <si>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</si>
  <si>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</si>
  <si>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</si>
  <si>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</si>
  <si>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</si>
  <si>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</si>
  <si>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</si>
  <si>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</si>
  <si>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</si>
  <si>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</si>
  <si>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</si>
  <si>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</si>
  <si>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</si>
  <si>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</si>
  <si>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</si>
  <si>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</si>
  <si>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</si>
  <si>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</si>
  <si>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</si>
  <si>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</si>
  <si>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</si>
  <si>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</si>
  <si>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</si>
  <si>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</si>
  <si>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</si>
  <si>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</si>
  <si>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</si>
  <si>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</si>
  <si>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</si>
  <si>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</si>
  <si>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</si>
  <si>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</si>
  <si>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</si>
  <si>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</si>
  <si>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</si>
  <si>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</si>
  <si>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</si>
  <si>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</si>
  <si>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</si>
  <si>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</si>
  <si>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</si>
  <si>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</si>
  <si>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</si>
  <si>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</si>
  <si>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</si>
  <si>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</si>
  <si>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</si>
  <si>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</si>
  <si>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</si>
  <si>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</si>
  <si>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</si>
  <si>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</si>
  <si>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</si>
  <si>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</si>
  <si>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</si>
  <si>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</si>
  <si>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</si>
  <si>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</si>
  <si>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</si>
  <si>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</si>
  <si>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</si>
  <si>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</si>
  <si>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</si>
  <si>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</si>
  <si>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</si>
  <si>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</si>
  <si>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</si>
  <si>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</si>
  <si>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</si>
  <si>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</si>
  <si>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</si>
  <si>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</si>
  <si>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</si>
  <si>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</si>
  <si>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</si>
  <si>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</si>
  <si>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</si>
  <si>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</si>
  <si>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</si>
  <si>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</si>
  <si>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</si>
  <si>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</si>
  <si>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</si>
  <si>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</si>
  <si>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</si>
  <si>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</si>
  <si>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</si>
  <si>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</si>
  <si>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</si>
  <si>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</si>
  <si>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</si>
  <si>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</si>
  <si>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</si>
  <si>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</si>
  <si>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</si>
  <si>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</si>
  <si>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</si>
  <si>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</si>
  <si>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</si>
  <si>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</si>
  <si>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</si>
  <si>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</si>
  <si>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</si>
  <si>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</si>
  <si>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</si>
  <si>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</si>
  <si>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</si>
  <si>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</si>
  <si>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</si>
  <si>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</si>
  <si>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</si>
  <si>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</si>
  <si>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</si>
  <si>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</si>
  <si>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</si>
  <si>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</si>
  <si>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</si>
  <si>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</si>
  <si>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</si>
  <si>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</si>
  <si>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</si>
  <si>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</si>
  <si>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</si>
  <si>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</si>
  <si>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</si>
  <si>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</si>
  <si>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</si>
  <si>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</si>
  <si>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</si>
  <si>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</si>
  <si>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</si>
  <si>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</si>
  <si>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</si>
  <si>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</si>
  <si>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</si>
  <si>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</si>
  <si>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</si>
  <si>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</si>
  <si>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</si>
  <si>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</si>
  <si>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</si>
  <si>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</si>
  <si>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</si>
  <si>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</si>
  <si>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</si>
  <si>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</si>
  <si>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</si>
  <si>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</si>
  <si>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</si>
  <si>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</si>
  <si>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</si>
  <si>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</si>
  <si>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</si>
  <si>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</si>
  <si>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</si>
  <si>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</si>
  <si>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</si>
  <si>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</si>
  <si>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</si>
  <si>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</si>
  <si>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</si>
  <si>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</si>
  <si>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</si>
  <si>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</si>
  <si>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</si>
  <si>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</si>
  <si>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</si>
  <si>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</si>
  <si>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</si>
  <si>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</si>
  <si>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</si>
  <si>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</si>
  <si>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</si>
  <si>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</si>
  <si>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</si>
  <si>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</si>
  <si>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</si>
  <si>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</si>
  <si>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</si>
  <si>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</si>
  <si>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</si>
  <si>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</si>
  <si>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</si>
  <si>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</si>
  <si>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</si>
  <si>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</si>
  <si>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</si>
  <si>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</si>
  <si>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</si>
  <si>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</si>
  <si>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</si>
  <si>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</si>
  <si>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</si>
  <si>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</si>
  <si>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</si>
  <si>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</si>
  <si>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</si>
  <si>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</si>
  <si>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</si>
  <si>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</si>
  <si>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</si>
  <si>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</si>
  <si>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</si>
  <si>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</si>
  <si>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</si>
  <si>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</si>
  <si>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</si>
  <si>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</si>
  <si>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</si>
  <si>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</si>
  <si>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</si>
  <si>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</si>
  <si>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</si>
  <si>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</si>
  <si>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</si>
  <si>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</si>
  <si>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</si>
  <si>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</si>
  <si>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</si>
  <si>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</si>
  <si>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</si>
  <si>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</si>
  <si>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</si>
  <si>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</si>
  <si>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</si>
  <si>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</si>
  <si>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</si>
  <si>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</si>
  <si>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</si>
  <si>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</si>
  <si>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</si>
  <si>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</si>
  <si>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</si>
  <si>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</si>
  <si>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</si>
  <si>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</si>
  <si>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</si>
  <si>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</si>
  <si>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</si>
  <si>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</si>
  <si>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</si>
  <si>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</si>
  <si>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</si>
  <si>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</si>
  <si>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</si>
  <si>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</si>
  <si>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</si>
  <si>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</si>
  <si>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</si>
  <si>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</si>
  <si>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</si>
  <si>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</si>
  <si>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</si>
  <si>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</si>
  <si>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</si>
  <si>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</si>
  <si>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</si>
  <si>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</si>
  <si>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</si>
  <si>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</si>
  <si>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</si>
  <si>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</si>
  <si>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</si>
  <si>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</si>
  <si>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</si>
  <si>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</si>
  <si>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</si>
  <si>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</si>
  <si>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</si>
  <si>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</si>
  <si>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</si>
  <si>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</si>
  <si>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</si>
  <si>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</si>
  <si>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</si>
  <si>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</si>
  <si>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</si>
  <si>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</si>
  <si>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</si>
  <si>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</si>
  <si>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</si>
  <si>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</si>
  <si>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</si>
  <si>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</si>
  <si>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</si>
  <si>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</si>
  <si>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</si>
  <si>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</si>
  <si>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</si>
  <si>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</si>
  <si>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</si>
  <si>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</si>
  <si>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</si>
  <si>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</si>
  <si>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</si>
  <si>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</si>
  <si>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</si>
  <si>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</si>
  <si>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</si>
  <si>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</si>
  <si>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</si>
  <si>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</si>
  <si>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</si>
  <si>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</si>
  <si>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</si>
  <si>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</si>
  <si>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</si>
  <si>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</si>
  <si>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</si>
  <si>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</si>
  <si>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</si>
  <si>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</si>
  <si>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</si>
  <si>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</si>
  <si>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</si>
  <si>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</si>
  <si>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</si>
  <si>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</si>
  <si>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</si>
  <si>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</si>
  <si>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</si>
  <si>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</si>
  <si>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</si>
  <si>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</si>
  <si>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</si>
  <si>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</si>
  <si>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</si>
  <si>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</si>
  <si>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</si>
  <si>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</si>
  <si>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</si>
  <si>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</si>
  <si>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</si>
  <si>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</si>
  <si>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</si>
  <si>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</si>
  <si>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</si>
  <si>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</si>
  <si>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</si>
  <si>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</si>
  <si>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</si>
  <si>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</si>
  <si>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</si>
  <si>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</si>
  <si>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</si>
  <si>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</si>
  <si>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</si>
  <si>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</si>
  <si>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</si>
  <si>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</si>
  <si>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</si>
  <si>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</si>
  <si>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</si>
  <si>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</si>
  <si>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</si>
  <si>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</si>
  <si>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</si>
  <si>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</si>
  <si>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</si>
  <si>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</si>
  <si>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</si>
  <si>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</si>
  <si>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</si>
  <si>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</si>
  <si>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</si>
  <si>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</si>
  <si>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</si>
  <si>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</si>
  <si>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</si>
  <si>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</si>
  <si>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</si>
  <si>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</si>
  <si>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</si>
  <si>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</si>
  <si>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</si>
  <si>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</si>
  <si>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</si>
  <si>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</si>
  <si>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</si>
  <si>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</si>
  <si>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</si>
  <si>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</si>
  <si>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</si>
  <si>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</si>
  <si>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</si>
  <si>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</si>
  <si>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</si>
  <si>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</si>
  <si>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</si>
  <si>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</si>
  <si>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</si>
  <si>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</si>
  <si>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</si>
  <si>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</si>
  <si>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</si>
  <si>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</si>
  <si>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</si>
  <si>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</si>
  <si>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</si>
  <si>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</si>
  <si>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</si>
  <si>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</si>
  <si>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</si>
  <si>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</si>
  <si>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</si>
  <si>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</si>
  <si>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</si>
  <si>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</si>
  <si>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</si>
  <si>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</si>
  <si>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</si>
  <si>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</si>
  <si>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</si>
  <si>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</si>
  <si>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</si>
  <si>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</si>
  <si>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</si>
  <si>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</si>
  <si>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</si>
  <si>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</si>
  <si>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</si>
  <si>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</si>
  <si>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</si>
  <si>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</si>
  <si>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</si>
  <si>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</si>
  <si>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</si>
  <si>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</si>
  <si>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</si>
  <si>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</si>
  <si>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</si>
  <si>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</si>
  <si>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</si>
  <si>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</si>
  <si>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</si>
  <si>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</si>
  <si>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</si>
  <si>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</si>
  <si>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</si>
  <si>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</si>
  <si>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</si>
  <si>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</si>
  <si>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</si>
  <si>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</si>
  <si>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</si>
  <si>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</si>
  <si>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</si>
  <si>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</si>
  <si>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</si>
  <si>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</si>
  <si>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</si>
  <si>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</si>
  <si>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</si>
  <si>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</si>
  <si>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</si>
  <si>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</si>
  <si>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</si>
  <si>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</si>
  <si>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</si>
  <si>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</si>
  <si>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</si>
  <si>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</si>
  <si>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</si>
  <si>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</si>
  <si>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</si>
  <si>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</si>
  <si>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</si>
  <si>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</si>
  <si>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</si>
  <si>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</si>
  <si>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</si>
  <si>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</si>
  <si>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</si>
  <si>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</si>
  <si>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</si>
  <si>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</si>
  <si>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</si>
  <si>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</si>
  <si>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</si>
  <si>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</si>
  <si>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</si>
  <si>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</si>
  <si>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</si>
  <si>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</si>
  <si>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</si>
  <si>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</si>
  <si>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</si>
  <si>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</si>
  <si>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</si>
  <si>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</si>
  <si>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</si>
  <si>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</si>
  <si>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</si>
  <si>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</si>
  <si>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</si>
  <si>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</si>
  <si>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</si>
  <si>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</si>
  <si>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</si>
  <si>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</si>
  <si>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</si>
  <si>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</si>
  <si>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</si>
  <si>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</si>
  <si>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</si>
  <si>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</si>
  <si>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</si>
  <si>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</si>
  <si>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</si>
  <si>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</si>
  <si>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</si>
  <si>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</si>
  <si>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</si>
  <si>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</si>
  <si>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</si>
  <si>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</si>
  <si>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</si>
  <si>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</si>
  <si>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</si>
  <si>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</si>
  <si>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</si>
  <si>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</si>
  <si>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</si>
  <si>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</si>
  <si>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</si>
  <si>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</si>
  <si>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</si>
  <si>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</si>
  <si>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</si>
  <si>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</si>
  <si>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</si>
  <si>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</si>
  <si>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</si>
  <si>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</si>
  <si>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</si>
  <si>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</si>
  <si>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</si>
  <si>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</si>
  <si>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</si>
  <si>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</si>
  <si>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</si>
  <si>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</si>
  <si>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</si>
  <si>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</si>
  <si>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</si>
  <si>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</si>
  <si>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</si>
  <si>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</si>
  <si>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</si>
  <si>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</si>
  <si>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</si>
  <si>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</si>
  <si>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</si>
  <si>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</si>
  <si>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</si>
  <si>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</si>
  <si>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</si>
  <si>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</si>
  <si>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</si>
  <si>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</si>
  <si>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</si>
  <si>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</si>
  <si>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</si>
  <si>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</si>
  <si>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</si>
  <si>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</si>
  <si>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</si>
  <si>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</si>
  <si>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</si>
  <si>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</si>
  <si>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</si>
  <si>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</si>
  <si>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</si>
  <si>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</si>
  <si>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</si>
  <si>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</si>
  <si>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</si>
  <si>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</si>
  <si>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</si>
  <si>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</si>
  <si>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</si>
  <si>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</si>
  <si>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</si>
  <si>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</si>
  <si>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</si>
  <si>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</si>
  <si>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</si>
  <si>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</si>
  <si>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</si>
  <si>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</si>
  <si>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</si>
  <si>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</si>
  <si>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</si>
  <si>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</si>
  <si>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</si>
  <si>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</si>
  <si>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</si>
  <si>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</si>
  <si>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</si>
  <si>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</si>
  <si>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</si>
  <si>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</si>
  <si>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</si>
  <si>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</si>
  <si>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</si>
  <si>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</si>
  <si>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</si>
  <si>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</si>
  <si>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</si>
  <si>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</si>
  <si>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</si>
  <si>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</si>
  <si>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</si>
  <si>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</si>
  <si>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</si>
  <si>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</si>
  <si>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</si>
  <si>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</si>
  <si>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</si>
  <si>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</si>
  <si>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</si>
  <si>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</si>
  <si>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</si>
  <si>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</si>
  <si>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</si>
  <si>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</si>
  <si>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</si>
  <si>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</si>
  <si>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</si>
  <si>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</si>
  <si>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</si>
  <si>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</si>
  <si>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</si>
  <si>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</si>
  <si>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</si>
  <si>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</si>
  <si>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</si>
  <si>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</si>
  <si>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</si>
  <si>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</si>
  <si>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</si>
  <si>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</si>
  <si>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</si>
  <si>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</si>
  <si>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</si>
  <si>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</si>
  <si>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</si>
  <si>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</si>
  <si>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</si>
  <si>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</si>
  <si>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</si>
  <si>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</si>
  <si>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</si>
  <si>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</si>
  <si>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</si>
  <si>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</si>
  <si>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</si>
  <si>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</si>
  <si>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</si>
  <si>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</si>
  <si>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</si>
  <si>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</si>
  <si>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</si>
  <si>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</si>
  <si>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</si>
  <si>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</si>
  <si>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</si>
  <si>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</si>
  <si>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</si>
  <si>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</si>
  <si>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</si>
  <si>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</si>
  <si>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</si>
  <si>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</si>
  <si>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</si>
  <si>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</si>
  <si>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</si>
  <si>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</si>
  <si>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</si>
  <si>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</si>
  <si>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</si>
  <si>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</si>
  <si>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</si>
  <si>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</si>
  <si>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</si>
  <si>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</si>
  <si>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</si>
  <si>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</si>
  <si>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</si>
  <si>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</si>
  <si>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</si>
  <si>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</si>
  <si>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</si>
  <si>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</si>
  <si>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</si>
  <si>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</si>
  <si>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</si>
  <si>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</si>
  <si>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</si>
  <si>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</si>
  <si>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</si>
  <si>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</si>
  <si>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</si>
  <si>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</si>
  <si>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</si>
  <si>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</si>
  <si>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</si>
  <si>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</si>
  <si>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</si>
  <si>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</si>
  <si>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</si>
  <si>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</si>
  <si>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</si>
  <si>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</si>
  <si>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</si>
  <si>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</si>
  <si>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</si>
  <si>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</si>
  <si>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</si>
  <si>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</si>
  <si>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</si>
  <si>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</si>
  <si>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</si>
  <si>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</si>
  <si>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</si>
  <si>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</si>
  <si>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</si>
  <si>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</si>
  <si>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</si>
  <si>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</si>
  <si>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</si>
  <si>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</si>
  <si>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</si>
  <si>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</si>
  <si>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</si>
  <si>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</si>
  <si>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</si>
  <si>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</si>
  <si>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</si>
  <si>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</si>
  <si>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</si>
  <si>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</si>
  <si>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</si>
  <si>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</si>
  <si>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</si>
  <si>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</si>
  <si>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</si>
  <si>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</si>
  <si>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</si>
  <si>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</si>
  <si>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</si>
  <si>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</si>
  <si>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</si>
  <si>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</si>
  <si>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</si>
  <si>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</si>
  <si>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</si>
  <si>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</si>
  <si>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</si>
  <si>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</si>
  <si>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</si>
  <si>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</si>
  <si>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</si>
  <si>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</si>
  <si>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</si>
  <si>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</si>
  <si>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</si>
  <si>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</si>
  <si>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</si>
  <si>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</si>
  <si>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</si>
  <si>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</si>
  <si>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</si>
  <si>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</si>
  <si>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</si>
  <si>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</si>
  <si>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</si>
  <si>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</si>
  <si>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</si>
  <si>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</si>
  <si>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</si>
  <si>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</si>
  <si>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</si>
  <si>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</si>
  <si>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</si>
  <si>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</si>
  <si>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</si>
  <si>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</si>
  <si>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</si>
  <si>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</si>
  <si>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</si>
  <si>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</si>
  <si>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</si>
  <si>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</si>
  <si>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</si>
  <si>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</si>
  <si>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</si>
  <si>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</si>
  <si>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</si>
  <si>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</si>
  <si>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</si>
  <si>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</si>
  <si>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</si>
  <si>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</si>
  <si>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</si>
  <si>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</si>
  <si>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</si>
  <si>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</si>
  <si>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</si>
  <si>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</si>
  <si>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</si>
  <si>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</si>
  <si>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</si>
  <si>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</si>
  <si>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</si>
  <si>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</si>
  <si>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</si>
  <si>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</si>
  <si>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</si>
  <si>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</si>
  <si>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</si>
  <si>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</si>
  <si>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</si>
  <si>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</si>
  <si>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</si>
  <si>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</si>
  <si>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</si>
  <si>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</si>
  <si>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</si>
  <si>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</si>
  <si>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</si>
  <si>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</si>
  <si>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</si>
  <si>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</si>
  <si>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</si>
  <si>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</si>
  <si>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</si>
  <si>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</si>
  <si>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</si>
  <si>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</si>
  <si>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</si>
  <si>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</si>
  <si>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</si>
  <si>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</si>
  <si>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</si>
  <si>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</si>
  <si>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</si>
  <si>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</si>
  <si>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</si>
  <si>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</si>
  <si>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</si>
  <si>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</si>
  <si>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</si>
  <si>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</si>
  <si>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</si>
  <si>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</si>
  <si>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</si>
  <si>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</si>
  <si>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</si>
  <si>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</si>
  <si>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</si>
  <si>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</si>
  <si>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</si>
  <si>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</si>
  <si>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</si>
  <si>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</si>
  <si>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</si>
  <si>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</si>
  <si>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</si>
  <si>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</si>
  <si>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</si>
  <si>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</si>
  <si>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</si>
  <si>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</si>
  <si>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</si>
  <si>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</si>
  <si>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</si>
  <si>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</si>
  <si>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</si>
  <si>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</si>
  <si>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</si>
  <si>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</si>
  <si>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</si>
  <si>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</si>
  <si>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</si>
  <si>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</si>
  <si>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</si>
  <si>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</si>
  <si>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</si>
  <si>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</si>
  <si>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</si>
  <si>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</si>
  <si>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</si>
  <si>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</si>
  <si>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</si>
  <si>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</si>
  <si>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</si>
  <si>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</si>
  <si>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</si>
  <si>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</si>
  <si>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</si>
  <si>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</si>
  <si>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</si>
  <si>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</si>
  <si>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</si>
  <si>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</si>
  <si>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</si>
  <si>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</si>
  <si>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</si>
  <si>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</si>
  <si>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</si>
  <si>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</si>
  <si>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</si>
  <si>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</si>
  <si>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</si>
  <si>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</si>
  <si>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</si>
  <si>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</si>
  <si>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</si>
  <si>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</si>
  <si>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</si>
  <si>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</si>
  <si>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</si>
  <si>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</si>
  <si>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</si>
  <si>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</si>
  <si>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</si>
  <si>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</si>
  <si>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</si>
  <si>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</si>
  <si>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</si>
  <si>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</si>
  <si>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</si>
  <si>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</si>
  <si>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</si>
  <si>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</si>
  <si>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</si>
  <si>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</si>
  <si>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</si>
  <si>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</si>
  <si>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</si>
  <si>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</si>
  <si>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</si>
  <si>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</si>
  <si>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</si>
  <si>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</si>
  <si>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</si>
  <si>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</si>
  <si>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</si>
  <si>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</si>
  <si>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</si>
  <si>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</si>
  <si>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</si>
  <si>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</si>
  <si>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</si>
  <si>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</si>
  <si>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</si>
  <si>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</si>
  <si>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</si>
  <si>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</si>
  <si>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</si>
  <si>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</si>
  <si>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</si>
  <si>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</si>
  <si>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</si>
  <si>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</si>
  <si>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</si>
  <si>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</si>
  <si>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</si>
  <si>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</si>
  <si>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</si>
  <si>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</si>
  <si>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</si>
  <si>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</si>
  <si>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</si>
  <si>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</si>
  <si>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</si>
  <si>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</si>
  <si>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</si>
  <si>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</si>
  <si>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</si>
  <si>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</si>
  <si>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</si>
  <si>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</si>
  <si>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</si>
  <si>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</si>
  <si>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</si>
  <si>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</si>
  <si>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</si>
  <si>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</si>
  <si>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</si>
  <si>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</si>
  <si>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</si>
  <si>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</si>
  <si>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</si>
  <si>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</si>
  <si>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</si>
  <si>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</si>
  <si>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</si>
  <si>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</si>
  <si>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</si>
  <si>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</si>
  <si>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</si>
  <si>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</si>
  <si>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</si>
  <si>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</si>
  <si>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</si>
  <si>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</si>
  <si>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</si>
  <si>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</si>
  <si>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</si>
  <si>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</si>
  <si>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</si>
  <si>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</si>
  <si>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</si>
  <si>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</si>
  <si>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</si>
  <si>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</si>
  <si>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</si>
  <si>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</si>
  <si>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</si>
  <si>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</si>
  <si>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</si>
  <si>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</si>
  <si>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</si>
  <si>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</si>
  <si>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</si>
  <si>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</si>
  <si>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</si>
  <si>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</si>
  <si>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</si>
  <si>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</si>
  <si>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</si>
  <si>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</si>
  <si>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</si>
  <si>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</si>
  <si>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</si>
  <si>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</si>
  <si>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</si>
  <si>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</si>
  <si>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</si>
  <si>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</si>
  <si>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</si>
  <si>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</si>
  <si>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</si>
  <si>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</si>
  <si>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</si>
  <si>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</si>
  <si>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</si>
  <si>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</si>
  <si>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</si>
  <si>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</si>
  <si>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</si>
  <si>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</si>
  <si>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</si>
  <si>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</si>
  <si>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</si>
  <si>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</si>
  <si>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</si>
  <si>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</si>
  <si>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</si>
  <si>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</si>
  <si>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</si>
  <si>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</si>
  <si>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</si>
  <si>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</si>
  <si>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</si>
  <si>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</si>
  <si>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</si>
  <si>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</si>
  <si>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</si>
  <si>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</si>
  <si>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</si>
  <si>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</si>
  <si>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</si>
  <si>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</si>
  <si>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</si>
  <si>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</si>
  <si>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</si>
  <si>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</si>
  <si>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</si>
  <si>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</si>
  <si>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</si>
  <si>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</si>
  <si>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</si>
  <si>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</si>
  <si>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</si>
  <si>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</si>
  <si>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</si>
  <si>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</si>
  <si>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</si>
  <si>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</si>
  <si>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</si>
  <si>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</si>
  <si>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</si>
  <si>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</si>
  <si>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</si>
  <si>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</si>
  <si>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</si>
  <si>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</si>
  <si>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</si>
  <si>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</si>
  <si>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</si>
  <si>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</si>
  <si>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</si>
  <si>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</si>
  <si>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</si>
  <si>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</si>
  <si>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</si>
  <si>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</si>
  <si>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</si>
  <si>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</si>
  <si>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</si>
  <si>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</si>
  <si>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</si>
  <si>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</si>
  <si>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</si>
  <si>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</si>
  <si>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</si>
  <si>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</si>
  <si>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</si>
  <si>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</si>
  <si>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</si>
  <si>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</si>
  <si>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</si>
  <si>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</si>
  <si>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</si>
  <si>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</si>
  <si>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</si>
  <si>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</si>
  <si>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</si>
  <si>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</si>
  <si>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</si>
  <si>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</si>
  <si>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</si>
  <si>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</si>
  <si>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</si>
  <si>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</si>
  <si>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</si>
  <si>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</si>
  <si>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</si>
  <si>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</si>
  <si>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</si>
  <si>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</si>
  <si>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</si>
  <si>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</si>
  <si>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</si>
  <si>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</si>
  <si>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</si>
  <si>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</si>
  <si>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</si>
  <si>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</si>
  <si>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</si>
  <si>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</si>
  <si>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</si>
  <si>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</si>
  <si>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</si>
  <si>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</si>
  <si>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</si>
  <si>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</si>
  <si>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</si>
  <si>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</si>
  <si>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</si>
  <si>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</si>
  <si>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</si>
  <si>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</si>
  <si>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</si>
  <si>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</si>
  <si>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</si>
  <si>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</si>
  <si>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</si>
  <si>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</si>
  <si>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</si>
  <si>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</si>
  <si>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</si>
  <si>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</si>
  <si>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</si>
  <si>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</si>
  <si>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</si>
  <si>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</si>
  <si>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</si>
  <si>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</si>
  <si>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</si>
  <si>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</si>
  <si>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</si>
  <si>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</si>
  <si>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</si>
  <si>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</si>
  <si>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</si>
  <si>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</si>
  <si>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</si>
  <si>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</si>
  <si>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</si>
  <si>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</si>
  <si>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</si>
  <si>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</si>
  <si>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</si>
  <si>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</si>
  <si>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</si>
  <si>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</si>
  <si>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</si>
  <si>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</si>
  <si>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</si>
  <si>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</si>
  <si>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</si>
  <si>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</si>
  <si>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</si>
  <si>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</si>
  <si>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</si>
  <si>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</si>
  <si>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</si>
  <si>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</si>
  <si>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</si>
  <si>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</si>
  <si>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</si>
  <si>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</si>
  <si>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</si>
  <si>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</si>
  <si>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</si>
  <si>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</si>
  <si>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</si>
  <si>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</si>
  <si>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</si>
  <si>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</si>
  <si>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</si>
  <si>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</si>
  <si>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</si>
  <si>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</si>
  <si>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</si>
  <si>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</si>
  <si>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</si>
  <si>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</si>
  <si>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</si>
  <si>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</si>
  <si>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</si>
  <si>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</si>
  <si>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</si>
  <si>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</si>
  <si>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</si>
  <si>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</si>
  <si>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</si>
  <si>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</si>
  <si>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</si>
  <si>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</si>
  <si>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</si>
  <si>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</si>
  <si>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</si>
  <si>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</si>
  <si>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</si>
  <si>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</si>
  <si>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</si>
  <si>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</si>
  <si>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</si>
  <si>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</si>
  <si>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</si>
  <si>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</si>
  <si>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</si>
  <si>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</si>
  <si>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</si>
  <si>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</si>
  <si>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</si>
  <si>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</si>
  <si>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</si>
  <si>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</si>
  <si>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</si>
  <si>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</si>
  <si>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</si>
  <si>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</si>
  <si>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</si>
  <si>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</si>
  <si>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</si>
  <si>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</si>
  <si>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</si>
  <si>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</si>
  <si>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</si>
  <si>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</si>
  <si>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</si>
  <si>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</si>
  <si>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</si>
  <si>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</si>
  <si>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</si>
  <si>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</si>
  <si>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</si>
  <si>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</si>
  <si>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</si>
  <si>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</si>
  <si>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</si>
  <si>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</si>
  <si>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</si>
  <si>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</si>
  <si>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</si>
  <si>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</si>
  <si>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</si>
  <si>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</si>
  <si>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</si>
  <si>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</si>
  <si>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</si>
  <si>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</si>
  <si>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</si>
  <si>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</si>
  <si>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</si>
  <si>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</si>
  <si>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</si>
  <si>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</si>
  <si>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</si>
  <si>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</si>
  <si>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</si>
  <si>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</si>
  <si>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</si>
  <si>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</si>
  <si>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</si>
  <si>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</si>
  <si>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</si>
  <si>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</si>
  <si>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</si>
  <si>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</si>
  <si>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</si>
  <si>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</si>
  <si>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</si>
  <si>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</si>
  <si>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</si>
  <si>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</si>
  <si>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</si>
  <si>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</si>
  <si>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</si>
  <si>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</si>
  <si>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</si>
  <si>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</si>
  <si>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</si>
  <si>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</si>
  <si>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</si>
  <si>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</si>
  <si>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</si>
  <si>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</si>
  <si>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</si>
  <si>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</si>
  <si>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</si>
  <si>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</si>
  <si>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</si>
  <si>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</si>
  <si>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</si>
  <si>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</si>
  <si>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</si>
  <si>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</si>
  <si>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</si>
  <si>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</si>
  <si>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</si>
  <si>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</si>
  <si>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</si>
  <si>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</si>
  <si>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</si>
  <si>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</si>
  <si>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</si>
  <si>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</si>
  <si>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</si>
  <si>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</si>
  <si>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</si>
  <si>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</si>
  <si>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</si>
  <si>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</si>
  <si>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</si>
  <si>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</si>
  <si>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</si>
  <si>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</si>
  <si>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</si>
  <si>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</si>
  <si>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</si>
  <si>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</si>
  <si>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</si>
  <si>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</si>
  <si>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</si>
  <si>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</si>
  <si>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</si>
  <si>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</si>
  <si>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</si>
  <si>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</si>
  <si>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</si>
  <si>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</si>
  <si>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</si>
  <si>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</si>
  <si>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</si>
  <si>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</si>
  <si>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</si>
  <si>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</si>
  <si>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</si>
  <si>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</si>
  <si>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</si>
  <si>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</si>
  <si>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</si>
  <si>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</si>
  <si>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</si>
  <si>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</si>
  <si>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</si>
  <si>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</si>
  <si>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</si>
  <si>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</si>
  <si>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</si>
  <si>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</si>
  <si>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</si>
  <si>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</si>
  <si>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</si>
  <si>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</si>
  <si>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</si>
  <si>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</si>
  <si>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</si>
  <si>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</si>
  <si>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</si>
  <si>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</si>
  <si>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</si>
  <si>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</si>
  <si>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</si>
  <si>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</si>
  <si>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</si>
  <si>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</si>
  <si>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</si>
  <si>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</si>
  <si>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</si>
  <si>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</si>
  <si>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</si>
  <si>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</si>
  <si>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</si>
  <si>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</si>
  <si>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</si>
  <si>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</si>
  <si>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</si>
  <si>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</si>
  <si>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</si>
  <si>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</si>
  <si>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</si>
  <si>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</si>
  <si>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</si>
  <si>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</si>
  <si>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</si>
  <si>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</si>
  <si>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</si>
  <si>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</si>
  <si>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</si>
  <si>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</si>
  <si>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</si>
  <si>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</si>
  <si>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</si>
  <si>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</si>
  <si>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</si>
  <si>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</si>
  <si>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</si>
  <si>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</si>
  <si>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</si>
  <si>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</si>
  <si>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</si>
  <si>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</si>
  <si>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</si>
  <si>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</si>
  <si>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</si>
  <si>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</si>
  <si>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</si>
  <si>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</si>
  <si>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</si>
  <si>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</si>
  <si>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</si>
  <si>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</si>
  <si>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</si>
  <si>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</si>
  <si>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</si>
  <si>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</si>
  <si>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</si>
  <si>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</si>
  <si>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</si>
  <si>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</si>
  <si>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</si>
  <si>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</si>
  <si>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</si>
  <si>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</si>
  <si>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</si>
  <si>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</si>
  <si>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</si>
  <si>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</si>
  <si>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</si>
  <si>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</si>
  <si>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</si>
  <si>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</si>
  <si>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</si>
  <si>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</si>
  <si>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</si>
  <si>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</si>
  <si>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</si>
  <si>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</si>
  <si>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</si>
  <si>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</si>
  <si>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</si>
  <si>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</si>
  <si>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</si>
  <si>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</si>
  <si>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</si>
  <si>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</si>
  <si>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</si>
  <si>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</si>
  <si>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</si>
  <si>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</si>
  <si>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</si>
  <si>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</si>
  <si>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</si>
  <si>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</si>
  <si>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</si>
  <si>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</si>
  <si>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</si>
  <si>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</si>
  <si>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</si>
  <si>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</si>
  <si>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</si>
  <si>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</si>
  <si>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</si>
  <si>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</si>
  <si>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</si>
  <si>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</si>
  <si>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</si>
  <si>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</si>
  <si>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</si>
  <si>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</si>
  <si>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</si>
  <si>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</si>
  <si>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</si>
  <si>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</si>
  <si>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</si>
  <si>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</si>
  <si>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</si>
  <si>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</si>
  <si>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</si>
  <si>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</si>
  <si>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</si>
  <si>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</si>
  <si>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</si>
  <si>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</si>
  <si>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</si>
  <si>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</si>
  <si>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</si>
  <si>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</si>
  <si>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</si>
  <si>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</si>
  <si>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</si>
  <si>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</si>
  <si>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</si>
  <si>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</si>
  <si>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</si>
  <si>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</si>
  <si>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</si>
  <si>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</si>
  <si>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</si>
  <si>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</si>
  <si>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</si>
  <si>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</si>
  <si>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</si>
  <si>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</si>
  <si>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</si>
  <si>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</si>
  <si>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</si>
  <si>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</si>
  <si>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</si>
  <si>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</si>
  <si>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</si>
  <si>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</si>
  <si>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</si>
  <si>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</si>
  <si>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</si>
  <si>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</si>
  <si>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</si>
  <si>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</si>
  <si>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</si>
  <si>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</si>
  <si>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</si>
  <si>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</si>
  <si>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</si>
  <si>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</si>
  <si>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</si>
  <si>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</si>
  <si>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</si>
  <si>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</si>
  <si>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</si>
  <si>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</si>
  <si>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</si>
  <si>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</si>
  <si>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</si>
  <si>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</si>
  <si>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</si>
  <si>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</si>
  <si>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</si>
  <si>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</si>
  <si>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</si>
  <si>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</si>
  <si>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</si>
  <si>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</si>
  <si>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</si>
  <si>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</si>
  <si>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</si>
  <si>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</si>
  <si>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</si>
  <si>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</si>
  <si>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</si>
  <si>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</si>
  <si>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</si>
  <si>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</si>
  <si>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</si>
  <si>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</si>
  <si>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</si>
  <si>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</si>
  <si>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</si>
  <si>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</si>
  <si>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</si>
  <si>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</si>
  <si>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</si>
  <si>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</si>
  <si>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</si>
  <si>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</si>
  <si>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</si>
  <si>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</si>
  <si>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</si>
  <si>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</si>
  <si>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</si>
  <si>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</si>
  <si>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</si>
  <si>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</si>
  <si>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</si>
  <si>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</si>
  <si>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</si>
  <si>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</si>
  <si>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</si>
  <si>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</si>
  <si>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</si>
  <si>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</si>
  <si>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</si>
  <si>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</si>
  <si>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</si>
  <si>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</si>
  <si>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</si>
  <si>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</si>
  <si>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</si>
  <si>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</si>
  <si>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</si>
  <si>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</si>
  <si>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</si>
  <si>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</si>
  <si>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</si>
  <si>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</si>
  <si>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</si>
  <si>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</si>
  <si>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</si>
  <si>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</si>
  <si>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</si>
  <si>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</si>
  <si>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</si>
  <si>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</si>
  <si>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</si>
  <si>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</si>
  <si>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</si>
  <si>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</si>
  <si>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</si>
  <si>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</si>
  <si>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</si>
  <si>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</si>
  <si>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</si>
  <si>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</si>
  <si>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</si>
  <si>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</si>
  <si>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</si>
  <si>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</si>
  <si>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</si>
  <si>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</si>
  <si>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</si>
  <si>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</si>
  <si>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</si>
  <si>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</si>
  <si>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</si>
  <si>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</si>
  <si>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</si>
  <si>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</si>
  <si>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</si>
  <si>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</si>
  <si>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</si>
  <si>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</si>
  <si>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</si>
  <si>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</si>
  <si>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</si>
  <si>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</si>
  <si>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</si>
  <si>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</si>
  <si>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</si>
  <si>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</si>
  <si>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</si>
  <si>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</si>
  <si>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</si>
  <si>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</si>
  <si>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</si>
  <si>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</si>
  <si>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</si>
  <si>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</si>
  <si>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</si>
  <si>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</si>
  <si>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</si>
  <si>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</si>
  <si>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</si>
  <si>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</si>
  <si>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</si>
  <si>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</si>
  <si>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</si>
  <si>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</si>
  <si>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</si>
  <si>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</si>
  <si>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</si>
  <si>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</si>
  <si>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</si>
  <si>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</si>
  <si>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</si>
  <si>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</si>
  <si>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</si>
  <si>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</si>
  <si>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</si>
  <si>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</si>
  <si>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</si>
  <si>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</si>
  <si>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</si>
  <si>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</si>
  <si>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</si>
  <si>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</si>
  <si>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</si>
  <si>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</si>
  <si>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</si>
  <si>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</si>
  <si>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</si>
  <si>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</si>
  <si>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</si>
  <si>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</si>
  <si>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</si>
  <si>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</si>
  <si>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</si>
  <si>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</si>
  <si>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</si>
  <si>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</si>
  <si>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</si>
  <si>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</si>
  <si>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</si>
  <si>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</si>
  <si>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</si>
  <si>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</si>
  <si>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</si>
  <si>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</si>
  <si>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</si>
  <si>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</si>
  <si>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</si>
  <si>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</si>
  <si>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</si>
  <si>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</si>
  <si>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</si>
  <si>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</si>
  <si>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</si>
  <si>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</si>
  <si>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</si>
  <si>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</si>
  <si>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</si>
  <si>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</si>
  <si>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</si>
  <si>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</si>
  <si>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</si>
  <si>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</si>
  <si>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</si>
  <si>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</si>
  <si>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</si>
  <si>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</si>
  <si>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</si>
  <si>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</si>
  <si>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</si>
  <si>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</si>
  <si>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</si>
  <si>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</si>
  <si>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</si>
  <si>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</si>
  <si>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</si>
  <si>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</si>
  <si>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</si>
  <si>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</si>
  <si>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</si>
  <si>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</si>
  <si>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</si>
  <si>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</si>
  <si>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</si>
  <si>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</si>
  <si>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</si>
  <si>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</si>
  <si>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</si>
  <si>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</si>
  <si>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</si>
  <si>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</si>
  <si>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</si>
  <si>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</si>
  <si>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</si>
  <si>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</si>
  <si>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</si>
  <si>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</si>
  <si>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</si>
  <si>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</si>
  <si>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</si>
  <si>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</si>
  <si>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</si>
  <si>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</si>
  <si>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</si>
  <si>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</si>
  <si>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</si>
  <si>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</si>
  <si>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</si>
  <si>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</si>
  <si>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</si>
  <si>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</si>
  <si>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</si>
  <si>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</si>
  <si>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</si>
  <si>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</si>
  <si>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</si>
  <si>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</si>
  <si>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</si>
  <si>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</si>
  <si>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</si>
  <si>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</si>
  <si>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</si>
  <si>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</si>
  <si>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</si>
  <si>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</si>
  <si>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</si>
  <si>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</si>
  <si>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</si>
  <si>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</si>
  <si>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</si>
  <si>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</si>
  <si>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</si>
  <si>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</si>
  <si>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</si>
  <si>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</si>
  <si>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</si>
  <si>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</si>
  <si>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</si>
  <si>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</si>
  <si>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</si>
  <si>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</si>
  <si>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</si>
  <si>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</si>
  <si>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</si>
  <si>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</si>
  <si>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</si>
  <si>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</si>
  <si>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</si>
  <si>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</si>
  <si>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</si>
  <si>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</si>
  <si>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</si>
  <si>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</si>
  <si>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</si>
  <si>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</si>
  <si>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</si>
  <si>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</si>
  <si>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</si>
  <si>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</si>
  <si>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</si>
  <si>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</si>
  <si>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</si>
  <si>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</si>
  <si>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</si>
  <si>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</si>
  <si>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</si>
  <si>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</si>
  <si>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</si>
  <si>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</si>
  <si>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</si>
  <si>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</si>
  <si>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</si>
  <si>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</si>
  <si>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</si>
  <si>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</si>
  <si>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</si>
  <si>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</si>
  <si>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</si>
  <si>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</si>
  <si>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</si>
  <si>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</si>
  <si>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</si>
  <si>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</si>
  <si>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</si>
  <si>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</si>
  <si>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</si>
  <si>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</si>
  <si>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</si>
  <si>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</si>
  <si>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</si>
  <si>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</si>
  <si>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</si>
  <si>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</si>
  <si>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</si>
  <si>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</si>
  <si>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</si>
  <si>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</si>
  <si>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</si>
  <si>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</si>
  <si>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</si>
  <si>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</si>
  <si>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</si>
  <si>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</si>
  <si>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</si>
  <si>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</si>
  <si>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</si>
  <si>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</si>
  <si>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</si>
  <si>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</si>
  <si>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</si>
  <si>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</si>
  <si>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</si>
  <si>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</si>
  <si>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</si>
  <si>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</si>
  <si>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</si>
  <si>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</si>
  <si>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</si>
  <si>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</si>
  <si>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</si>
  <si>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</si>
  <si>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</si>
  <si>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</si>
  <si>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</si>
  <si>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</si>
  <si>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</si>
  <si>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</si>
  <si>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</si>
  <si>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</si>
  <si>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</si>
  <si>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</si>
  <si>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</si>
  <si>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</si>
  <si>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</si>
  <si>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</si>
  <si>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</si>
  <si>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</si>
  <si>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</si>
  <si>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</si>
  <si>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</si>
  <si>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</si>
  <si>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</si>
  <si>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</si>
  <si>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</si>
  <si>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</si>
  <si>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</si>
  <si>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</si>
  <si>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</si>
  <si>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</si>
  <si>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</si>
  <si>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</si>
  <si>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</si>
  <si>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</si>
  <si>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</si>
  <si>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</si>
  <si>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</si>
  <si>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</si>
  <si>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</si>
  <si>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</si>
  <si>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</si>
  <si>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</si>
  <si>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</si>
  <si>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</si>
  <si>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</si>
  <si>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</si>
  <si>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</si>
  <si>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</si>
  <si>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</si>
  <si>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</si>
  <si>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</si>
  <si>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</si>
  <si>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</si>
  <si>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</si>
  <si>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</si>
  <si>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</si>
  <si>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</si>
  <si>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</si>
  <si>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</si>
  <si>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</si>
  <si>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</si>
  <si>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</si>
  <si>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</si>
  <si>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</si>
  <si>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</si>
  <si>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</si>
  <si>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</si>
  <si>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</si>
  <si>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</si>
  <si>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</si>
  <si>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</si>
  <si>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</si>
  <si>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</si>
  <si>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</si>
  <si>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</si>
  <si>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</si>
  <si>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</si>
  <si>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</si>
  <si>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</si>
  <si>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</si>
  <si>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</si>
  <si>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</si>
  <si>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</si>
  <si>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</si>
  <si>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</si>
  <si>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</si>
  <si>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</si>
  <si>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</si>
  <si>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</si>
  <si>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</si>
  <si>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</si>
  <si>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</si>
  <si>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</si>
  <si>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</si>
  <si>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</si>
  <si>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</si>
  <si>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</si>
  <si>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</si>
  <si>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</si>
  <si>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</si>
  <si>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</si>
  <si>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</si>
  <si>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</si>
  <si>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</si>
  <si>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</si>
  <si>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</si>
  <si>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</si>
  <si>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</si>
  <si>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</si>
  <si>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</si>
  <si>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</si>
  <si>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</si>
  <si>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</si>
  <si>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</si>
  <si>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</si>
  <si>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</si>
  <si>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</si>
  <si>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</si>
  <si>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</si>
  <si>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</si>
  <si>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</si>
  <si>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</si>
  <si>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</si>
  <si>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</si>
  <si>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</si>
  <si>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</si>
  <si>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</si>
  <si>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</si>
  <si>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</si>
  <si>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</si>
  <si>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</si>
  <si>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</si>
  <si>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</si>
  <si>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</si>
  <si>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</si>
  <si>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</si>
  <si>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</si>
  <si>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</si>
  <si>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</si>
  <si>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</si>
  <si>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</si>
  <si>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</si>
  <si>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</si>
  <si>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</si>
  <si>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</si>
  <si>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</si>
  <si>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</si>
  <si>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</si>
  <si>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</si>
  <si>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</si>
  <si>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</si>
  <si>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</si>
  <si>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</si>
  <si>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</si>
  <si>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</si>
  <si>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</si>
  <si>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</si>
  <si>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</si>
  <si>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</si>
  <si>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</si>
  <si>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</si>
  <si>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</si>
  <si>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</si>
  <si>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</si>
  <si>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</si>
  <si>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</si>
  <si>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</si>
  <si>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</si>
  <si>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</si>
  <si>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</si>
  <si>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</si>
  <si>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</si>
  <si>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</si>
  <si>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</si>
  <si>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</si>
  <si>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</si>
  <si>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</si>
  <si>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</si>
  <si>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</si>
  <si>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</si>
  <si>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</si>
  <si>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</si>
  <si>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</si>
  <si>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</si>
  <si>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</si>
  <si>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</si>
  <si>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</si>
  <si>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</si>
  <si>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</si>
  <si>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</si>
  <si>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</si>
  <si>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</si>
  <si>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</si>
  <si>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</si>
  <si>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</si>
  <si>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</si>
  <si>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</si>
  <si>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</si>
  <si>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</si>
  <si>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</si>
  <si>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</si>
  <si>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</si>
  <si>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</si>
  <si>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</si>
  <si>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</si>
  <si>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</si>
  <si>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</si>
  <si>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</si>
  <si>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</si>
  <si>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</si>
  <si>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</si>
  <si>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</si>
  <si>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</si>
  <si>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</si>
  <si>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</si>
  <si>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</si>
  <si>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</si>
  <si>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</si>
  <si>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</si>
  <si>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</si>
  <si>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</si>
  <si>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</si>
  <si>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</si>
  <si>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</si>
  <si>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</si>
  <si>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</si>
  <si>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</si>
  <si>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</si>
  <si>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</si>
  <si>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</si>
  <si>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</si>
  <si>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</si>
  <si>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</si>
  <si>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</si>
  <si>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</si>
  <si>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</si>
  <si>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</si>
  <si>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</si>
  <si>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</si>
  <si>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</si>
  <si>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</si>
  <si>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</si>
  <si>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</si>
  <si>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</si>
  <si>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</si>
  <si>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</si>
  <si>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</si>
  <si>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</si>
  <si>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</si>
  <si>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</si>
  <si>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</si>
  <si>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</si>
  <si>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</si>
  <si>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</si>
  <si>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</si>
  <si>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</si>
  <si>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</si>
  <si>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</si>
  <si>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</si>
  <si>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</si>
  <si>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</si>
  <si>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</si>
  <si>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</si>
  <si>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</si>
  <si>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</si>
  <si>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</si>
  <si>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</si>
  <si>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</si>
  <si>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</si>
  <si>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</si>
  <si>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</si>
  <si>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</si>
  <si>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</si>
  <si>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</si>
  <si>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</si>
  <si>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</si>
  <si>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</si>
  <si>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</si>
  <si>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</si>
  <si>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</si>
  <si>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</si>
  <si>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</si>
  <si>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</si>
  <si>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</si>
  <si>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</si>
  <si>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</si>
  <si>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</si>
  <si>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</si>
  <si>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</si>
  <si>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</si>
  <si>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</si>
  <si>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</si>
  <si>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</si>
  <si>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</si>
  <si>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</si>
  <si>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</si>
  <si>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</si>
  <si>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</si>
  <si>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</si>
  <si>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</si>
  <si>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</si>
  <si>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</si>
  <si>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</si>
  <si>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</si>
  <si>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</si>
  <si>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</si>
  <si>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</si>
  <si>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</si>
  <si>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</si>
  <si>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</si>
  <si>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</si>
  <si>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</si>
  <si>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</si>
  <si>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</si>
  <si>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</si>
  <si>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</si>
  <si>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</si>
  <si>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</si>
  <si>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</si>
  <si>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</si>
  <si>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</si>
  <si>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</si>
  <si>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</si>
  <si>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</si>
  <si>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</si>
  <si>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</si>
  <si>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</si>
  <si>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</si>
  <si>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</si>
  <si>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</si>
  <si>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</si>
  <si>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</si>
  <si>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</si>
  <si>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</si>
  <si>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</si>
  <si>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</si>
  <si>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</si>
  <si>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</si>
  <si>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</si>
  <si>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</si>
  <si>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</si>
  <si>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</si>
  <si>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</si>
  <si>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</si>
  <si>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</si>
  <si>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</si>
  <si>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</si>
  <si>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</si>
  <si>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</si>
  <si>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</si>
  <si>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</si>
  <si>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</si>
  <si>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</si>
  <si>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</si>
  <si>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</si>
  <si>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</si>
  <si>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</si>
  <si>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</si>
  <si>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</si>
  <si>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</si>
  <si>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</si>
  <si>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</si>
  <si>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</si>
  <si>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</si>
  <si>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</si>
  <si>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</si>
  <si>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</si>
  <si>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</si>
  <si>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</si>
  <si>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</si>
  <si>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</si>
  <si>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</si>
  <si>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</si>
  <si>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</si>
  <si>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</si>
  <si>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</si>
  <si>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</si>
  <si>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</si>
  <si>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</si>
  <si>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</si>
  <si>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</si>
  <si>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</si>
  <si>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</si>
  <si>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</si>
  <si>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</si>
  <si>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</si>
  <si>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</si>
  <si>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</si>
  <si>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</si>
  <si>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</si>
  <si>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</si>
  <si>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</si>
  <si>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</si>
  <si>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</si>
  <si>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</si>
  <si>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</si>
  <si>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</si>
  <si>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</si>
  <si>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</si>
  <si>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</si>
  <si>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</si>
  <si>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</si>
  <si>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</si>
  <si>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</si>
  <si>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</si>
  <si>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</si>
  <si>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</si>
  <si>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</si>
  <si>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</si>
  <si>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</si>
  <si>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</si>
  <si>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</si>
  <si>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</si>
  <si>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</si>
  <si>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</si>
  <si>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</si>
  <si>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</si>
  <si>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</si>
  <si>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</si>
  <si>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</si>
  <si>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</si>
  <si>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</si>
  <si>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</si>
  <si>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</si>
  <si>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</si>
  <si>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</si>
  <si>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</si>
  <si>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</si>
  <si>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</si>
  <si>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</si>
  <si>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</si>
  <si>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</si>
  <si>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</si>
  <si>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</si>
  <si>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</si>
  <si>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</si>
  <si>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</si>
  <si>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</si>
  <si>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</si>
  <si>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</si>
  <si>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</si>
  <si>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</si>
  <si>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</si>
  <si>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</si>
  <si>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</si>
  <si>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</si>
  <si>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</si>
  <si>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</si>
  <si>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</si>
  <si>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</si>
  <si>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</si>
  <si>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</si>
  <si>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</si>
  <si>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</si>
  <si>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</si>
  <si>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</si>
  <si>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</si>
  <si>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</si>
  <si>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</si>
  <si>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</si>
  <si>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</si>
  <si>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</si>
  <si>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</si>
  <si>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</si>
  <si>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</si>
  <si>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</si>
  <si>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</si>
  <si>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</si>
  <si>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</si>
  <si>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</si>
  <si>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</si>
  <si>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</si>
  <si>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</si>
  <si>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</si>
  <si>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</si>
  <si>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</si>
  <si>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</si>
  <si>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</si>
  <si>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</si>
  <si>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</si>
  <si>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</si>
  <si>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</si>
  <si>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</si>
  <si>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</si>
  <si>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</si>
  <si>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</si>
  <si>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</si>
  <si>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</si>
  <si>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</si>
  <si>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</si>
  <si>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</si>
  <si>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</si>
  <si>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</si>
  <si>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</si>
  <si>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</si>
  <si>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</si>
  <si>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</si>
  <si>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</si>
  <si>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</si>
  <si>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</si>
  <si>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</si>
  <si>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</si>
  <si>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</si>
  <si>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</si>
  <si>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</si>
  <si>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</si>
  <si>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</si>
  <si>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</si>
  <si>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</si>
  <si>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</si>
  <si>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</si>
  <si>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</si>
  <si>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</si>
  <si>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</si>
  <si>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</si>
  <si>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</si>
  <si>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</si>
  <si>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</si>
  <si>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</si>
  <si>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</si>
  <si>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</si>
  <si>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</si>
  <si>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</si>
  <si>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</si>
  <si>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</si>
  <si>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</si>
  <si>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</si>
  <si>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</si>
  <si>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</si>
  <si>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</si>
  <si>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</si>
  <si>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</si>
  <si>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</si>
  <si>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</si>
  <si>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</si>
  <si>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</si>
  <si>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</si>
  <si>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</si>
  <si>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</si>
  <si>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</si>
  <si>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</si>
  <si>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</si>
  <si>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</si>
  <si>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</si>
  <si>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</si>
  <si>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</si>
  <si>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</si>
  <si>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</si>
  <si>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</si>
  <si>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</si>
  <si>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</si>
  <si>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</si>
  <si>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</si>
  <si>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</si>
  <si>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</si>
  <si>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</si>
  <si>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</si>
  <si>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</si>
  <si>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</si>
  <si>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</si>
  <si>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</si>
  <si>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</si>
  <si>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</si>
  <si>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</si>
  <si>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</si>
  <si>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</si>
  <si>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</si>
  <si>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</si>
  <si>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</si>
  <si>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</si>
  <si>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</si>
  <si>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</si>
  <si>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</si>
  <si>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</si>
  <si>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</si>
  <si>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</si>
  <si>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</si>
  <si>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</si>
  <si>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</si>
  <si>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</si>
  <si>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</si>
  <si>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</si>
  <si>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</si>
  <si>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</si>
  <si>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</si>
  <si>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</si>
  <si>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</si>
  <si>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</si>
  <si>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</si>
  <si>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</si>
  <si>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</si>
  <si>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</si>
  <si>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</si>
  <si>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</si>
  <si>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</si>
  <si>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</si>
  <si>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</si>
  <si>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</si>
  <si>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</si>
  <si>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</si>
  <si>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</si>
  <si>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</si>
  <si>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</si>
  <si>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</si>
  <si>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</si>
  <si>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</si>
  <si>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</si>
  <si>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</si>
  <si>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</si>
  <si>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</si>
  <si>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</si>
  <si>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</si>
  <si>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</si>
  <si>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</si>
  <si>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</si>
  <si>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</si>
  <si>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</si>
  <si>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</si>
  <si>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</si>
  <si>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</si>
  <si>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</si>
  <si>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</si>
  <si>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</si>
  <si>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</si>
  <si>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</si>
  <si>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</si>
  <si>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</si>
  <si>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</si>
  <si>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</si>
  <si>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</si>
  <si>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</si>
  <si>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</si>
  <si>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</si>
  <si>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</si>
  <si>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</si>
  <si>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</si>
  <si>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</si>
  <si>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</si>
  <si>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</si>
  <si>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</si>
  <si>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</si>
  <si>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</si>
  <si>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</si>
  <si>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</si>
  <si>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</si>
  <si>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</si>
  <si>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</si>
  <si>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</si>
  <si>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</si>
  <si>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</si>
  <si>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</si>
  <si>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</si>
  <si>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</si>
  <si>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</si>
  <si>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</si>
  <si>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</si>
  <si>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</si>
  <si>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</si>
  <si>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</si>
  <si>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</si>
  <si>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</si>
  <si>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</si>
  <si>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</si>
  <si>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</si>
  <si>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</si>
  <si>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</si>
  <si>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</si>
  <si>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</si>
  <si>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</si>
  <si>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</si>
  <si>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</si>
  <si>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</si>
  <si>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</si>
  <si>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</si>
  <si>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</si>
  <si>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</si>
  <si>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</si>
  <si>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</si>
  <si>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</si>
  <si>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</si>
  <si>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</si>
  <si>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</si>
  <si>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</si>
  <si>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</si>
  <si>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</si>
  <si>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</si>
  <si>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</si>
  <si>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</si>
  <si>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</si>
  <si>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</si>
  <si>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</si>
  <si>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</si>
  <si>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</si>
  <si>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</si>
  <si>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</si>
  <si>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</si>
  <si>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</si>
  <si>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</si>
  <si>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</si>
  <si>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</si>
  <si>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</si>
  <si>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</si>
  <si>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</si>
  <si>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</si>
  <si>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</si>
  <si>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</si>
  <si>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</si>
  <si>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</si>
  <si>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</si>
  <si>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</si>
  <si>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</si>
  <si>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</si>
  <si>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</si>
  <si>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</si>
  <si>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</si>
  <si>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</si>
  <si>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</si>
  <si>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</si>
  <si>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</si>
  <si>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</si>
  <si>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</si>
  <si>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</si>
  <si>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</si>
  <si>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</si>
  <si>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</si>
  <si>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</si>
  <si>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</si>
  <si>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</si>
  <si>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</si>
  <si>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</si>
  <si>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</si>
  <si>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</si>
  <si>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</si>
  <si>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</si>
  <si>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</si>
  <si>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</si>
  <si>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</si>
  <si>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</si>
  <si>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</si>
  <si>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</si>
  <si>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</si>
  <si>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</si>
  <si>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</si>
  <si>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</si>
  <si>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</si>
  <si>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</si>
  <si>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</si>
  <si>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</si>
  <si>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</si>
  <si>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</si>
  <si>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</si>
  <si>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</si>
  <si>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</si>
  <si>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</si>
  <si>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</si>
  <si>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</si>
  <si>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</si>
  <si>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</si>
  <si>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</si>
  <si>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</si>
  <si>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</si>
  <si>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</si>
  <si>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</si>
  <si>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</si>
  <si>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</si>
  <si>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</si>
  <si>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</si>
  <si>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</si>
  <si>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</si>
  <si>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</si>
  <si>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</si>
  <si>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</si>
  <si>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</si>
  <si>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</si>
  <si>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</si>
  <si>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</si>
  <si>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</si>
  <si>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</si>
  <si>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</si>
  <si>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</si>
  <si>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</si>
  <si>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</si>
  <si>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</si>
  <si>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</si>
  <si>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</si>
  <si>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</si>
  <si>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</si>
  <si>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</si>
  <si>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</si>
  <si>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</si>
  <si>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</si>
  <si>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</si>
  <si>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</si>
  <si>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</si>
  <si>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</si>
  <si>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</si>
  <si>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</si>
  <si>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</si>
  <si>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</si>
  <si>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</si>
  <si>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</si>
  <si>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</si>
  <si>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</si>
  <si>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</si>
  <si>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</si>
  <si>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</si>
  <si>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</si>
  <si>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</si>
  <si>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</si>
  <si>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</si>
  <si>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</si>
  <si>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</si>
  <si>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</si>
  <si>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</si>
  <si>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</si>
  <si>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</si>
  <si>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</si>
  <si>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</si>
  <si>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</si>
  <si>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</si>
  <si>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</si>
  <si>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</si>
  <si>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</si>
  <si>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</si>
  <si>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</si>
  <si>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</si>
  <si>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</si>
  <si>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</si>
  <si>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</si>
  <si>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</si>
  <si>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</si>
  <si>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</si>
  <si>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</si>
  <si>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</si>
  <si>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</si>
  <si>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</si>
  <si>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</si>
  <si>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</si>
  <si>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</si>
  <si>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</si>
  <si>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</si>
  <si>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</si>
  <si>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</si>
  <si>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</si>
  <si>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</si>
  <si>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</si>
  <si>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</si>
  <si>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</si>
  <si>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</si>
  <si>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</si>
  <si>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</si>
  <si>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</si>
  <si>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</si>
  <si>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</si>
  <si>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</si>
  <si>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</si>
  <si>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</si>
  <si>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</si>
  <si>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</si>
  <si>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</si>
  <si>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</si>
  <si>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</si>
  <si>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</si>
  <si>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</si>
  <si>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</si>
  <si>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</si>
  <si>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</si>
  <si>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</si>
  <si>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</si>
  <si>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</si>
  <si>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</si>
  <si>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</si>
  <si>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</si>
  <si>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</si>
  <si>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</si>
  <si>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</si>
  <si>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</si>
  <si>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</si>
  <si>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</si>
  <si>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</si>
  <si>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</si>
  <si>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</si>
  <si>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</si>
  <si>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</si>
  <si>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</si>
  <si>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</si>
  <si>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</si>
  <si>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</si>
  <si>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</si>
  <si>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</si>
  <si>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</si>
  <si>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</si>
  <si>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</si>
  <si>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</si>
  <si>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</si>
  <si>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</si>
  <si>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</si>
  <si>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</si>
  <si>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</si>
  <si>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</si>
  <si>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</si>
  <si>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</si>
  <si>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</si>
  <si>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</si>
  <si>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</si>
  <si>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</si>
  <si>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</si>
  <si>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</si>
  <si>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</si>
  <si>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</si>
  <si>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</si>
  <si>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</si>
  <si>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</si>
  <si>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</si>
  <si>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</si>
  <si>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</si>
  <si>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</si>
  <si>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</si>
  <si>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</si>
  <si>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</si>
  <si>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</si>
  <si>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</si>
  <si>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</si>
  <si>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</si>
  <si>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</si>
  <si>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</si>
  <si>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</si>
  <si>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</si>
  <si>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</si>
  <si>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</si>
  <si>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</si>
  <si>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</si>
  <si>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</si>
  <si>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</si>
  <si>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</si>
  <si>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</si>
  <si>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</si>
  <si>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</si>
  <si>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</si>
  <si>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</si>
  <si>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</si>
  <si>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</si>
  <si>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</si>
  <si>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</si>
  <si>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</si>
  <si>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</si>
  <si>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</si>
  <si>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</si>
  <si>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</si>
  <si>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</si>
  <si>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</si>
  <si>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</si>
  <si>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</si>
  <si>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</si>
  <si>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</si>
  <si>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</si>
  <si>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</si>
  <si>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</si>
  <si>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</si>
  <si>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</si>
  <si>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</si>
  <si>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</si>
  <si>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</si>
  <si>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</si>
  <si>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</si>
  <si>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</si>
  <si>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</si>
  <si>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</si>
  <si>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</si>
  <si>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</si>
  <si>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</si>
  <si>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</si>
  <si>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</si>
  <si>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</si>
  <si>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</si>
  <si>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</si>
  <si>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</si>
  <si>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</si>
  <si>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</si>
  <si>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</si>
  <si>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</si>
  <si>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</si>
  <si>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</si>
  <si>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</si>
  <si>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</si>
  <si>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</si>
  <si>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</si>
  <si>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</si>
  <si>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</si>
  <si>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</si>
  <si>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</si>
  <si>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</si>
  <si>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</si>
  <si>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</si>
  <si>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</si>
  <si>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</si>
  <si>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</si>
  <si>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</si>
  <si>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</si>
  <si>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</si>
  <si>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</si>
  <si>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</si>
  <si>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</si>
  <si>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</si>
  <si>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</si>
  <si>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</si>
  <si>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</si>
  <si>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</si>
  <si>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</si>
  <si>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</si>
  <si>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</si>
  <si>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</si>
  <si>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</si>
  <si>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</si>
  <si>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</si>
  <si>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</si>
  <si>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</si>
  <si>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</si>
  <si>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</si>
  <si>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</si>
  <si>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</si>
  <si>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</si>
  <si>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</si>
  <si>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</si>
  <si>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</si>
  <si>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</si>
  <si>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</si>
  <si>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</si>
  <si>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</si>
  <si>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</si>
  <si>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</si>
  <si>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</si>
  <si>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</si>
  <si>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</si>
  <si>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</si>
  <si>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</si>
  <si>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</si>
  <si>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</si>
  <si>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</si>
  <si>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</si>
  <si>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</si>
  <si>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</si>
  <si>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</si>
  <si>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</si>
  <si>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</si>
  <si>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</si>
  <si>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</si>
  <si>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</si>
  <si>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</si>
  <si>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</si>
  <si>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</si>
  <si>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</si>
  <si>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</si>
  <si>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</si>
  <si>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</si>
  <si>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</si>
  <si>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</si>
  <si>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</si>
  <si>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</si>
  <si>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</si>
  <si>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</si>
  <si>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</si>
  <si>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</si>
  <si>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</si>
  <si>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</si>
  <si>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</si>
  <si>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</si>
  <si>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</si>
  <si>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</si>
  <si>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</si>
  <si>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</si>
  <si>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</si>
  <si>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</si>
  <si>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</si>
  <si>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</si>
  <si>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</si>
  <si>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</si>
  <si>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</si>
  <si>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</si>
  <si>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</si>
  <si>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</si>
  <si>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</si>
  <si>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</si>
  <si>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</si>
  <si>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</si>
  <si>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</si>
  <si>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</si>
  <si>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</si>
  <si>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</si>
  <si>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</si>
  <si>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</si>
  <si>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</si>
  <si>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</si>
  <si>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</si>
  <si>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</si>
  <si>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</si>
  <si>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</si>
  <si>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</si>
  <si>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</si>
  <si>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</si>
  <si>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</si>
  <si>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</si>
  <si>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</si>
  <si>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</si>
  <si>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</si>
  <si>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</si>
  <si>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</si>
  <si>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</si>
  <si>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</si>
  <si>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</si>
  <si>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</si>
  <si>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</si>
  <si>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</si>
  <si>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</si>
  <si>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</si>
  <si>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</si>
  <si>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</si>
  <si>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</si>
  <si>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</si>
  <si>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</si>
  <si>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</si>
  <si>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</si>
  <si>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</si>
  <si>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</si>
  <si>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</si>
  <si>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</si>
  <si>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</si>
  <si>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</si>
  <si>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</si>
  <si>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</si>
  <si>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</si>
  <si>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</si>
  <si>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</si>
  <si>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</si>
  <si>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</si>
  <si>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</si>
  <si>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</si>
  <si>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</si>
  <si>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</si>
  <si>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</si>
  <si>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</si>
  <si>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</si>
  <si>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</si>
  <si>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</si>
  <si>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</si>
  <si>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</si>
  <si>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</si>
  <si>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</si>
  <si>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</si>
  <si>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</si>
  <si>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</si>
  <si>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</si>
  <si>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</si>
  <si>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</si>
  <si>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</si>
  <si>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</si>
  <si>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</si>
  <si>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</si>
  <si>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</si>
  <si>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</si>
  <si>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</si>
  <si>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</si>
  <si>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</si>
  <si>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</si>
  <si>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</si>
  <si>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</si>
  <si>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</si>
  <si>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</si>
  <si>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</si>
  <si>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</si>
  <si>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</si>
  <si>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</si>
  <si>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</si>
  <si>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</si>
  <si>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</si>
  <si>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</si>
  <si>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</si>
  <si>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</si>
  <si>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</si>
  <si>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</si>
  <si>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</si>
  <si>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</si>
  <si>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</si>
  <si>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</si>
  <si>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</si>
  <si>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</si>
  <si>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</si>
  <si>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</si>
  <si>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</si>
  <si>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</si>
  <si>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</si>
  <si>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</si>
  <si>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</si>
  <si>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</si>
  <si>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</si>
  <si>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</si>
  <si>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</si>
  <si>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</si>
  <si>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</si>
  <si>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</si>
  <si>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</si>
  <si>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</si>
  <si>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</si>
  <si>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</si>
  <si>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</si>
  <si>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</si>
  <si>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</si>
  <si>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</si>
  <si>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</si>
  <si>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</si>
  <si>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</si>
  <si>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</si>
  <si>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</si>
  <si>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</si>
  <si>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</si>
  <si>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</si>
  <si>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</si>
  <si>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</si>
  <si>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</si>
  <si>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</si>
  <si>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</si>
  <si>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</si>
  <si>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</si>
  <si>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</si>
  <si>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</si>
  <si>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</si>
  <si>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</si>
  <si>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</si>
  <si>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</si>
  <si>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</si>
  <si>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</si>
  <si>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</si>
  <si>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</si>
  <si>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</si>
  <si>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</si>
  <si>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</si>
  <si>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</si>
  <si>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</si>
  <si>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</si>
  <si>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</si>
  <si>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</si>
  <si>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</si>
  <si>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</si>
  <si>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</si>
  <si>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</si>
  <si>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</si>
  <si>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</si>
  <si>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</si>
  <si>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</si>
  <si>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</si>
  <si>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</si>
  <si>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</si>
  <si>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</si>
  <si>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</si>
  <si>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</si>
  <si>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</si>
  <si>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</si>
  <si>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</si>
  <si>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</si>
  <si>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</si>
  <si>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</si>
  <si>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</si>
  <si>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</si>
  <si>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</si>
  <si>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</si>
  <si>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</si>
  <si>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</si>
  <si>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</si>
  <si>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</si>
  <si>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</si>
  <si>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</si>
  <si>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</si>
  <si>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</si>
  <si>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</si>
  <si>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</si>
  <si>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</si>
  <si>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</si>
  <si>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</si>
  <si>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</si>
  <si>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</si>
  <si>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</si>
  <si>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</si>
  <si>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</si>
  <si>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</si>
  <si>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</si>
  <si>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</si>
  <si>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</si>
  <si>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</si>
  <si>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</si>
  <si>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</si>
  <si>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</si>
  <si>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</si>
  <si>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</si>
  <si>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</si>
  <si>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</si>
  <si>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</si>
  <si>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</si>
  <si>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</si>
  <si>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</si>
  <si>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</si>
  <si>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</si>
  <si>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</si>
  <si>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</si>
  <si>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</si>
  <si>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</si>
  <si>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</si>
  <si>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</si>
  <si>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</si>
  <si>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</si>
  <si>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</si>
  <si>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</si>
  <si>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</si>
  <si>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</si>
  <si>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</si>
  <si>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</si>
  <si>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</si>
  <si>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</si>
  <si>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</si>
  <si>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</si>
  <si>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</si>
  <si>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</si>
  <si>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</si>
  <si>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</si>
  <si>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</si>
  <si>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</si>
  <si>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</si>
  <si>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</si>
  <si>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</si>
  <si>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</si>
  <si>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</si>
  <si>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</si>
  <si>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</si>
  <si>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</si>
  <si>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</si>
  <si>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</si>
  <si>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</si>
  <si>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</si>
  <si>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</si>
  <si>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</si>
  <si>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</si>
  <si>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</si>
  <si>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</si>
  <si>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</si>
  <si>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</si>
  <si>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</si>
  <si>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</si>
  <si>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</si>
  <si>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</si>
  <si>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</si>
  <si>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</si>
  <si>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</si>
  <si>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</si>
  <si>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</si>
  <si>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</si>
  <si>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</si>
  <si>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</si>
  <si>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</si>
  <si>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</si>
  <si>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</si>
  <si>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</si>
  <si>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</si>
  <si>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</si>
  <si>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</si>
  <si>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</si>
  <si>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</si>
  <si>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</si>
  <si>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</si>
  <si>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</si>
  <si>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</si>
  <si>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</si>
  <si>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</si>
  <si>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</si>
  <si>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</si>
  <si>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</si>
  <si>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</si>
  <si>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</si>
  <si>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</si>
  <si>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</si>
  <si>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</si>
  <si>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</si>
  <si>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</si>
  <si>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</si>
  <si>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</si>
  <si>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</si>
  <si>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</si>
  <si>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</si>
  <si>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</si>
  <si>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</si>
  <si>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</si>
  <si>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</si>
  <si>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</si>
  <si>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</si>
  <si>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</si>
  <si>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</si>
  <si>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</si>
  <si>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</si>
  <si>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</si>
  <si>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</si>
  <si>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</si>
  <si>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</si>
  <si>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</si>
  <si>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</si>
  <si>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</si>
  <si>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</si>
  <si>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</si>
  <si>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</si>
  <si>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</si>
  <si>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</si>
  <si>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</si>
  <si>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</si>
  <si>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</si>
  <si>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</si>
  <si>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</si>
  <si>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</si>
  <si>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</si>
  <si>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</si>
  <si>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</si>
  <si>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</si>
  <si>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</si>
  <si>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</si>
  <si>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</si>
  <si>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</si>
  <si>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</si>
  <si>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</si>
  <si>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</si>
  <si>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</si>
  <si>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</si>
  <si>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</si>
  <si>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</si>
  <si>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</si>
  <si>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</si>
  <si>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</si>
  <si>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</si>
  <si>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</si>
  <si>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</si>
  <si>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</si>
  <si>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</si>
  <si>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</si>
  <si>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</si>
  <si>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</si>
  <si>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</si>
  <si>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</si>
  <si>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</si>
  <si>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</si>
  <si>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</si>
  <si>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</si>
  <si>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</si>
  <si>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</si>
  <si>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</si>
  <si>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</si>
  <si>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</si>
  <si>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</si>
  <si>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</si>
  <si>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</si>
  <si>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</si>
  <si>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</si>
  <si>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</si>
  <si>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</si>
  <si>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</si>
  <si>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</si>
  <si>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</si>
  <si>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</si>
  <si>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</si>
  <si>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</si>
  <si>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</si>
  <si>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</si>
  <si>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</si>
  <si>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</si>
  <si>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</si>
  <si>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</si>
  <si>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</si>
  <si>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</si>
  <si>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</si>
  <si>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</si>
  <si>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</si>
  <si>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</si>
  <si>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</si>
  <si>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</si>
  <si>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</si>
  <si>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</si>
  <si>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</si>
  <si>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</si>
  <si>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</si>
  <si>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</si>
  <si>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</si>
  <si>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</si>
  <si>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</si>
  <si>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</si>
  <si>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</si>
  <si>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</si>
  <si>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</si>
  <si>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</si>
  <si>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</si>
  <si>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</si>
  <si>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</si>
  <si>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</si>
  <si>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</si>
  <si>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</si>
  <si>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</si>
  <si>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</si>
  <si>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</si>
  <si>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</si>
  <si>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</si>
  <si>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</si>
  <si>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</si>
  <si>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</si>
  <si>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</si>
  <si>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</si>
  <si>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</si>
  <si>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</si>
  <si>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</si>
  <si>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</si>
  <si>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</si>
  <si>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</si>
  <si>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</si>
  <si>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</si>
  <si>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</si>
  <si>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</si>
  <si>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</si>
  <si>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</si>
  <si>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</si>
  <si>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</si>
  <si>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</si>
  <si>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</si>
  <si>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</si>
  <si>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</si>
  <si>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</si>
  <si>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</si>
  <si>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</si>
  <si>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</si>
  <si>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</si>
  <si>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</si>
  <si>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</si>
  <si>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</si>
  <si>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</si>
  <si>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</si>
  <si>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</si>
  <si>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</si>
  <si>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</si>
  <si>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</si>
  <si>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</si>
  <si>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</si>
  <si>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</si>
  <si>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</si>
  <si>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</si>
  <si>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</si>
  <si>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</si>
  <si>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</si>
  <si>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</si>
  <si>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</si>
  <si>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</si>
  <si>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</si>
  <si>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</si>
  <si>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</si>
  <si>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</si>
  <si>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</si>
  <si>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</si>
  <si>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</si>
  <si>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</si>
  <si>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</si>
  <si>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</si>
  <si>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</si>
  <si>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</si>
  <si>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</si>
  <si>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</si>
  <si>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</si>
  <si>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</si>
  <si>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</si>
  <si>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</si>
  <si>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</si>
  <si>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</si>
  <si>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</si>
  <si>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</si>
  <si>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</si>
  <si>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</si>
  <si>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</si>
  <si>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</si>
  <si>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</si>
  <si>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</si>
  <si>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</si>
  <si>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</si>
  <si>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</si>
  <si>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</si>
  <si>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</si>
  <si>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</si>
  <si>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</si>
  <si>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</si>
  <si>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</si>
  <si>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</si>
  <si>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</si>
  <si>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</si>
  <si>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</si>
  <si>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</si>
  <si>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</si>
  <si>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</si>
  <si>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</si>
  <si>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</si>
  <si>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</si>
  <si>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</si>
  <si>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</si>
  <si>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</si>
  <si>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</si>
  <si>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</si>
  <si>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</si>
  <si>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</si>
  <si>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</si>
  <si>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</si>
  <si>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</si>
  <si>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</si>
  <si>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</si>
  <si>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</si>
  <si>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</si>
  <si>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</si>
  <si>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</si>
  <si>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</si>
  <si>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</si>
  <si>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</si>
  <si>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</si>
  <si>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</si>
  <si>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</si>
  <si>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</si>
  <si>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</si>
  <si>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</si>
  <si>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</si>
  <si>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</si>
  <si>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</si>
  <si>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</si>
  <si>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</si>
  <si>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</si>
  <si>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</si>
  <si>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</si>
  <si>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</si>
  <si>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</si>
  <si>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</si>
  <si>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</si>
  <si>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</si>
  <si>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</si>
  <si>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</si>
  <si>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</si>
  <si>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</si>
  <si>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</si>
  <si>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</si>
  <si>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</si>
  <si>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</si>
  <si>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</si>
  <si>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</si>
  <si>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</si>
  <si>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</si>
  <si>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</si>
  <si>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</si>
  <si>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</si>
  <si>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</si>
  <si>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</si>
  <si>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</si>
  <si>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</si>
  <si>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</si>
  <si>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</si>
  <si>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</si>
  <si>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</si>
  <si>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</si>
  <si>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</si>
  <si>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</si>
  <si>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</si>
  <si>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</si>
  <si>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</si>
  <si>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</si>
  <si>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</si>
  <si>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</si>
  <si>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</si>
  <si>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</si>
  <si>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</si>
  <si>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</si>
  <si>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</si>
  <si>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</si>
  <si>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</si>
  <si>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</si>
  <si>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</si>
  <si>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</si>
  <si>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</si>
  <si>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</si>
  <si>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</si>
  <si>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</si>
  <si>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</si>
  <si>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</si>
  <si>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</si>
  <si>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</si>
  <si>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</si>
  <si>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</si>
  <si>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</si>
  <si>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</si>
  <si>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</si>
  <si>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</si>
  <si>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</si>
  <si>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</si>
  <si>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</si>
  <si>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</si>
  <si>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</si>
  <si>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</si>
  <si>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</si>
  <si>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</si>
  <si>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</si>
  <si>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</si>
  <si>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</si>
  <si>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</si>
  <si>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</si>
  <si>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</si>
  <si>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</si>
  <si>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</si>
  <si>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</si>
  <si>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</si>
  <si>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</si>
  <si>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</si>
  <si>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</si>
  <si>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</si>
  <si>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</si>
  <si>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</si>
  <si>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</si>
  <si>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</si>
  <si>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</si>
  <si>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</si>
  <si>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</si>
  <si>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</si>
  <si>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</si>
  <si>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</si>
  <si>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</si>
  <si>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</si>
  <si>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</si>
  <si>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</si>
  <si>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</si>
  <si>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</si>
  <si>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</si>
  <si>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</si>
  <si>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</si>
  <si>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</si>
  <si>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</si>
  <si>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</si>
  <si>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</si>
  <si>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</si>
  <si>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</si>
  <si>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</si>
  <si>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</si>
  <si>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</si>
  <si>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</si>
  <si>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</si>
  <si>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</si>
  <si>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</si>
  <si>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</si>
  <si>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</si>
  <si>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</si>
  <si>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</si>
  <si>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</si>
  <si>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</si>
  <si>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</si>
  <si>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</si>
  <si>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</si>
  <si>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</si>
  <si>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</si>
  <si>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</si>
  <si>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</si>
  <si>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</si>
  <si>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</si>
  <si>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</si>
  <si>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</si>
  <si>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</si>
  <si>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</si>
  <si>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</si>
  <si>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</si>
  <si>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</si>
  <si>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</si>
  <si>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</si>
  <si>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</si>
  <si>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</si>
  <si>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</si>
  <si>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</si>
  <si>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</si>
  <si>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</si>
  <si>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</si>
  <si>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</si>
  <si>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</si>
  <si>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</si>
  <si>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</si>
  <si>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</si>
  <si>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</si>
  <si>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</si>
  <si>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</si>
  <si>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</si>
  <si>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</si>
  <si>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</si>
  <si>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</si>
  <si>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</si>
  <si>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</si>
  <si>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</si>
  <si>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</si>
  <si>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</si>
  <si>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</si>
  <si>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</si>
  <si>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</si>
  <si>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</si>
  <si>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</si>
  <si>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</si>
  <si>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</si>
  <si>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</si>
  <si>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</si>
  <si>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</si>
  <si>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</si>
  <si>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</si>
  <si>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</si>
  <si>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</si>
  <si>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</si>
  <si>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</si>
  <si>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</si>
  <si>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</si>
  <si>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</si>
  <si>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</si>
  <si>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</si>
  <si>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</si>
  <si>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</si>
  <si>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</si>
  <si>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</si>
  <si>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</si>
  <si>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</si>
  <si>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</si>
  <si>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</si>
  <si>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</si>
  <si>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</si>
  <si>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</si>
  <si>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</si>
  <si>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</si>
  <si>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</si>
  <si>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</si>
  <si>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</si>
  <si>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</si>
  <si>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</si>
  <si>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</si>
  <si>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</si>
  <si>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</si>
  <si>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</si>
  <si>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</si>
  <si>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</si>
  <si>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</si>
  <si>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</si>
  <si>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</si>
  <si>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</si>
  <si>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</si>
  <si>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</si>
  <si>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</si>
  <si>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</si>
  <si>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</si>
  <si>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</si>
  <si>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</si>
  <si>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</si>
  <si>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</si>
  <si>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</si>
  <si>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</si>
  <si>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</si>
  <si>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</si>
  <si>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</si>
  <si>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</si>
  <si>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</si>
  <si>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</si>
  <si>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</si>
  <si>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</si>
  <si>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</si>
  <si>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</si>
  <si>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</si>
  <si>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</si>
  <si>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</si>
  <si>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</si>
  <si>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</si>
  <si>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</si>
  <si>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</si>
  <si>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</si>
  <si>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</si>
  <si>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</si>
  <si>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</si>
  <si>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</si>
  <si>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</si>
  <si>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</si>
  <si>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</si>
  <si>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</si>
  <si>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</si>
  <si>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</si>
  <si>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</si>
  <si>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</si>
  <si>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</si>
  <si>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</si>
  <si>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</si>
  <si>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</si>
  <si>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</si>
  <si>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</si>
  <si>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</si>
  <si>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</si>
  <si>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</si>
  <si>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</si>
  <si>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</si>
  <si>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</si>
  <si>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</si>
  <si>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</si>
  <si>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</si>
  <si>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</si>
  <si>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</si>
  <si>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</si>
  <si>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</si>
  <si>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</si>
  <si>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</si>
  <si>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</si>
  <si>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</si>
  <si>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</si>
  <si>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</si>
  <si>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</si>
  <si>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</si>
  <si>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</si>
  <si>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</si>
  <si>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</si>
  <si>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</si>
  <si>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</si>
  <si>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</si>
  <si>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</si>
  <si>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</si>
  <si>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</si>
  <si>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</si>
  <si>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</si>
  <si>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</si>
  <si>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</si>
  <si>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</si>
  <si>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</si>
  <si>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</si>
  <si>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</si>
  <si>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</si>
  <si>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</si>
  <si>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</si>
  <si>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</si>
  <si>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</si>
  <si>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</si>
  <si>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</si>
  <si>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</si>
  <si>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</si>
  <si>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</si>
  <si>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</si>
  <si>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</si>
  <si>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</si>
  <si>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</si>
  <si>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</si>
  <si>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</si>
  <si>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</si>
  <si>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</si>
  <si>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</si>
  <si>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</si>
  <si>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</si>
  <si>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</si>
  <si>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</si>
  <si>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</si>
  <si>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</si>
  <si>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</si>
  <si>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</si>
  <si>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</si>
  <si>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</si>
  <si>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</si>
  <si>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</si>
  <si>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</si>
  <si>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</si>
  <si>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</si>
  <si>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</si>
  <si>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</si>
  <si>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</si>
  <si>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</si>
  <si>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</si>
  <si>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</si>
  <si>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</si>
  <si>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</si>
  <si>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</si>
  <si>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</si>
  <si>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</si>
  <si>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</si>
  <si>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</si>
  <si>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</si>
  <si>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</si>
  <si>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</si>
  <si>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</si>
  <si>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</si>
  <si>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</si>
  <si>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</si>
  <si>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</si>
  <si>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</si>
  <si>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</si>
  <si>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</si>
  <si>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</si>
  <si>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</si>
  <si>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</si>
  <si>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</si>
  <si>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</si>
  <si>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</si>
  <si>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</si>
  <si>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</si>
  <si>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</si>
  <si>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</si>
  <si>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</si>
  <si>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</si>
  <si>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</si>
  <si>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</si>
  <si>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</si>
  <si>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</si>
  <si>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</si>
  <si>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</si>
  <si>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</si>
  <si>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</si>
  <si>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</si>
  <si>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</si>
  <si>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</si>
  <si>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</si>
  <si>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</si>
  <si>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</si>
  <si>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</si>
  <si>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</si>
  <si>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</si>
  <si>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</si>
  <si>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</si>
  <si>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</si>
  <si>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</si>
  <si>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</si>
  <si>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</si>
  <si>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</si>
  <si>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</si>
  <si>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</si>
  <si>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</si>
  <si>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</si>
  <si>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</si>
  <si>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</si>
  <si>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</si>
  <si>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</si>
  <si>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</si>
  <si>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</si>
  <si>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</si>
  <si>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</si>
  <si>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</si>
  <si>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</si>
  <si>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</si>
  <si>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</si>
  <si>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</si>
  <si>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</si>
  <si>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</si>
  <si>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</si>
  <si>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</si>
  <si>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</si>
  <si>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</si>
  <si>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</si>
  <si>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</si>
  <si>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</si>
  <si>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</si>
  <si>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</si>
  <si>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</si>
  <si>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</si>
  <si>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</si>
  <si>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</si>
  <si>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</si>
  <si>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</si>
  <si>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</si>
  <si>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</si>
  <si>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</si>
  <si>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</si>
  <si>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</si>
  <si>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</si>
  <si>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</si>
  <si>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</si>
  <si>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</si>
  <si>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</si>
  <si>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</si>
  <si>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</si>
  <si>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</si>
  <si>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</si>
  <si>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</si>
  <si>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</si>
  <si>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</si>
  <si>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</si>
  <si>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</si>
  <si>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</si>
  <si>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</si>
  <si>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</si>
  <si>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</si>
  <si>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</si>
  <si>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</si>
  <si>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</si>
  <si>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</si>
  <si>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</si>
  <si>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</si>
  <si>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</si>
  <si>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</si>
  <si>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</si>
  <si>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</si>
  <si>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</si>
  <si>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</si>
  <si>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</si>
  <si>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</si>
  <si>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</si>
  <si>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</si>
  <si>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</si>
  <si>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</si>
  <si>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</si>
  <si>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</si>
  <si>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</si>
  <si>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</si>
  <si>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</si>
  <si>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</si>
  <si>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</si>
  <si>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</si>
  <si>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</si>
  <si>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</si>
  <si>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</si>
  <si>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</si>
  <si>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</si>
  <si>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</si>
  <si>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</si>
  <si>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</si>
  <si>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</si>
  <si>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</si>
  <si>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</si>
  <si>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</si>
  <si>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</si>
  <si>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</si>
  <si>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</si>
  <si>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</si>
  <si>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</si>
  <si>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</si>
  <si>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</si>
  <si>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</si>
  <si>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</si>
  <si>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</si>
  <si>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</si>
  <si>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</si>
  <si>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</si>
  <si>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</si>
  <si>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</si>
  <si>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</si>
  <si>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</si>
  <si>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</si>
  <si>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</si>
  <si>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</si>
  <si>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</si>
  <si>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</si>
  <si>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</si>
  <si>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</si>
  <si>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</si>
  <si>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</si>
  <si>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</si>
  <si>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</si>
  <si>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</si>
  <si>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</si>
  <si>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</si>
  <si>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</si>
  <si>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</si>
  <si>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</si>
  <si>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</si>
  <si>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</si>
  <si>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</si>
  <si>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</si>
  <si>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</si>
  <si>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</si>
  <si>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</si>
  <si>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</si>
  <si>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</si>
  <si>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</si>
  <si>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</si>
  <si>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</si>
  <si>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</si>
  <si>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</si>
  <si>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</si>
  <si>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</si>
  <si>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</si>
  <si>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</si>
  <si>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</si>
  <si>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</si>
  <si>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</si>
  <si>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</si>
  <si>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</si>
  <si>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</si>
  <si>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</si>
  <si>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</si>
  <si>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</si>
  <si>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</si>
  <si>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</si>
  <si>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</si>
  <si>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</si>
  <si>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</si>
  <si>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</si>
  <si>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</si>
  <si>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</si>
  <si>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</si>
  <si>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</si>
  <si>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</si>
  <si>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</si>
  <si>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</si>
  <si>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</si>
  <si>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</si>
  <si>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</si>
  <si>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</si>
  <si>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</si>
  <si>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</si>
  <si>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</si>
  <si>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</si>
  <si>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</si>
  <si>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</si>
  <si>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</si>
  <si>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</si>
  <si>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</si>
  <si>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</si>
  <si>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</si>
  <si>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</si>
  <si>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</si>
  <si>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</si>
  <si>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</si>
  <si>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</si>
  <si>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</si>
  <si>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</si>
  <si>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</si>
  <si>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</si>
  <si>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</si>
  <si>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</si>
  <si>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</si>
  <si>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</si>
  <si>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</si>
  <si>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</si>
  <si>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</si>
  <si>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</si>
  <si>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</si>
  <si>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</si>
  <si>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</si>
  <si>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</si>
  <si>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</si>
  <si>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</si>
  <si>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</si>
  <si>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</si>
  <si>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</si>
  <si>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</si>
  <si>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</si>
  <si>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</si>
  <si>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</si>
  <si>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</si>
  <si>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</si>
  <si>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</si>
  <si>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</si>
  <si>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</si>
  <si>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</si>
  <si>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</si>
  <si>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</si>
  <si>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</si>
  <si>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</si>
  <si>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</si>
  <si>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</si>
  <si>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</si>
  <si>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</si>
  <si>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</si>
  <si>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</si>
  <si>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</si>
  <si>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</si>
  <si>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</si>
  <si>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</si>
  <si>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</si>
  <si>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</si>
  <si>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</si>
  <si>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</si>
  <si>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</si>
  <si>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</si>
  <si>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</si>
  <si>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</si>
  <si>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</si>
  <si>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</si>
  <si>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</si>
  <si>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</si>
  <si>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</si>
  <si>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</si>
  <si>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</si>
  <si>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</si>
  <si>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</si>
  <si>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</si>
  <si>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</si>
  <si>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</si>
  <si>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</si>
  <si>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</si>
  <si>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</si>
  <si>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</si>
  <si>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</si>
  <si>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</si>
  <si>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</si>
  <si>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</si>
  <si>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</si>
  <si>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</si>
  <si>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</si>
  <si>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</si>
  <si>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</si>
  <si>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</si>
  <si>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</si>
  <si>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</si>
  <si>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</si>
  <si>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</si>
  <si>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</si>
  <si>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</si>
  <si>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</si>
  <si>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</si>
  <si>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</si>
  <si>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</si>
  <si>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</si>
  <si>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</si>
  <si>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</si>
  <si>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</si>
  <si>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</si>
  <si>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</si>
  <si>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</si>
  <si>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</si>
  <si>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</si>
  <si>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</si>
  <si>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</si>
  <si>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</si>
  <si>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</si>
  <si>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</si>
  <si>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</si>
  <si>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</si>
  <si>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</si>
  <si>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</si>
  <si>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</si>
  <si>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</si>
  <si>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</si>
  <si>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</si>
  <si>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</si>
  <si>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</si>
  <si>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</si>
  <si>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</si>
  <si>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</si>
  <si>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</si>
  <si>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</si>
  <si>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</si>
  <si>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</si>
  <si>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</si>
  <si>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</si>
  <si>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</si>
  <si>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</si>
  <si>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</si>
  <si>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</si>
  <si>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</si>
  <si>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</si>
  <si>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</si>
  <si>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</si>
  <si>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</si>
  <si>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</si>
  <si>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</si>
  <si>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</si>
  <si>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</si>
  <si>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</si>
  <si>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</si>
  <si>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</si>
  <si>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</si>
  <si>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</si>
  <si>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</si>
  <si>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</si>
  <si>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</si>
  <si>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</si>
  <si>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</si>
  <si>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</si>
  <si>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</si>
  <si>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</si>
  <si>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</si>
  <si>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</si>
  <si>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</si>
  <si>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</si>
  <si>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</si>
  <si>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</si>
  <si>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</si>
  <si>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</si>
  <si>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</si>
  <si>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</si>
  <si>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</si>
  <si>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</si>
  <si>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</si>
  <si>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</si>
  <si>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</si>
  <si>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</si>
  <si>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</si>
  <si>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</si>
  <si>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</si>
  <si>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</si>
  <si>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</si>
  <si>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</si>
  <si>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</si>
  <si>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</si>
  <si>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</si>
  <si>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</si>
  <si>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</si>
  <si>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</si>
  <si>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</si>
  <si>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</si>
  <si>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</si>
  <si>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</si>
  <si>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</si>
  <si>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</si>
  <si>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</si>
  <si>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</si>
  <si>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</si>
  <si>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</si>
  <si>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</si>
  <si>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</si>
  <si>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</si>
  <si>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</si>
  <si>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</si>
  <si>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</si>
  <si>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</si>
  <si>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</si>
  <si>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</si>
  <si>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</si>
  <si>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</si>
  <si>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</si>
  <si>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</si>
  <si>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</si>
  <si>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</si>
  <si>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</si>
  <si>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</si>
  <si>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</si>
  <si>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</si>
  <si>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</si>
  <si>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</si>
  <si>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</si>
  <si>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</si>
  <si>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</si>
  <si>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</si>
  <si>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</si>
  <si>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</si>
  <si>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</si>
  <si>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</si>
  <si>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</si>
  <si>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</si>
  <si>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</si>
  <si>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</si>
  <si>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</si>
  <si>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</si>
  <si>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</si>
  <si>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</si>
  <si>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</si>
  <si>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</si>
  <si>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</si>
  <si>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</si>
  <si>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</si>
  <si>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</si>
  <si>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</si>
  <si>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</si>
  <si>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</si>
  <si>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</si>
  <si>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</si>
  <si>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</si>
  <si>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</si>
  <si>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</si>
  <si>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</si>
  <si>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</si>
  <si>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</si>
  <si>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</si>
  <si>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</si>
  <si>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</si>
  <si>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</si>
  <si>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</si>
  <si>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</si>
  <si>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</si>
  <si>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</si>
  <si>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</si>
  <si>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</si>
  <si>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</si>
  <si>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</si>
  <si>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</si>
  <si>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</si>
  <si>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</si>
  <si>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</si>
  <si>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</si>
  <si>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</si>
  <si>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</si>
  <si>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</si>
  <si>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</si>
  <si>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</si>
  <si>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</si>
  <si>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</si>
  <si>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</si>
  <si>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</si>
  <si>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</si>
  <si>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</si>
  <si>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</si>
  <si>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</si>
  <si>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</si>
  <si>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</si>
  <si>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</si>
  <si>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</si>
  <si>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</si>
  <si>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</si>
  <si>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</si>
  <si>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</si>
  <si>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</si>
  <si>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</si>
  <si>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</si>
  <si>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</si>
  <si>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</si>
  <si>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</si>
  <si>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</si>
  <si>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</si>
  <si>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</si>
  <si>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</si>
  <si>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</si>
  <si>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</si>
  <si>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</si>
  <si>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</si>
  <si>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</si>
  <si>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</si>
  <si>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</si>
  <si>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</si>
  <si>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</si>
  <si>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</si>
  <si>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</si>
  <si>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</si>
  <si>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</si>
  <si>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</si>
  <si>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</si>
  <si>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</si>
  <si>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</si>
  <si>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</si>
  <si>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</si>
  <si>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</si>
  <si>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</si>
  <si>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</si>
  <si>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</si>
  <si>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</si>
  <si>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</si>
  <si>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</si>
  <si>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</si>
  <si>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</si>
  <si>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</si>
  <si>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</si>
  <si>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</si>
  <si>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</si>
  <si>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</si>
  <si>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</si>
  <si>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</si>
  <si>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</si>
  <si>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</si>
  <si>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</si>
  <si>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</si>
  <si>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</si>
  <si>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</si>
  <si>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</si>
  <si>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</si>
  <si>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</si>
  <si>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</si>
  <si>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</si>
  <si>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</si>
  <si>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</si>
  <si>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</si>
  <si>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</si>
  <si>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</si>
  <si>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</si>
  <si>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</si>
  <si>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</si>
  <si>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</si>
  <si>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</si>
  <si>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</si>
  <si>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</si>
  <si>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</si>
  <si>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</si>
  <si>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</si>
  <si>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</si>
  <si>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</si>
  <si>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</si>
  <si>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</si>
  <si>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</si>
  <si>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</si>
  <si>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</si>
  <si>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</si>
  <si>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</si>
  <si>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</si>
  <si>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</si>
  <si>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</si>
  <si>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</si>
  <si>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</si>
  <si>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</si>
  <si>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</si>
  <si>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</si>
  <si>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</si>
  <si>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</si>
  <si>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</si>
  <si>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</si>
  <si>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</si>
  <si>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</si>
  <si>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</si>
  <si>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</si>
  <si>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</si>
  <si>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</si>
  <si>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</si>
  <si>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</si>
  <si>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</si>
  <si>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</si>
  <si>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</si>
  <si>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</si>
  <si>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</si>
  <si>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</si>
  <si>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</si>
  <si>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</si>
  <si>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</si>
  <si>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</si>
  <si>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</si>
  <si>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</si>
  <si>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</si>
  <si>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</si>
  <si>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</si>
  <si>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</si>
  <si>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</si>
  <si>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</si>
  <si>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</si>
  <si>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</si>
  <si>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</si>
  <si>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</si>
  <si>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</si>
  <si>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</si>
  <si>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</si>
  <si>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</si>
  <si>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</si>
  <si>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</si>
  <si>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</si>
  <si>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</si>
  <si>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</si>
  <si>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</si>
  <si>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</si>
  <si>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</si>
  <si>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</si>
  <si>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</si>
  <si>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</si>
  <si>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</si>
  <si>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</si>
  <si>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</si>
  <si>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</si>
  <si>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</si>
  <si>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</si>
  <si>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</si>
  <si>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</si>
  <si>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</si>
  <si>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</si>
  <si>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</si>
  <si>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</si>
  <si>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</si>
  <si>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</si>
  <si>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</si>
  <si>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</si>
  <si>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</si>
  <si>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</si>
  <si>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</si>
  <si>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</si>
  <si>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</si>
  <si>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</si>
  <si>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</si>
  <si>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</si>
  <si>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</si>
  <si>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</si>
  <si>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</si>
  <si>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</si>
  <si>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</si>
  <si>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</si>
  <si>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</si>
  <si>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</si>
  <si>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</si>
  <si>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</si>
  <si>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</si>
  <si>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</si>
  <si>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</si>
  <si>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</si>
  <si>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</si>
  <si>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</si>
  <si>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</si>
  <si>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</si>
  <si>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</si>
  <si>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</si>
  <si>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</si>
  <si>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</si>
  <si>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</si>
  <si>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</si>
  <si>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</si>
  <si>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</si>
  <si>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</si>
  <si>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</si>
  <si>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</si>
  <si>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</si>
  <si>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</si>
  <si>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</si>
  <si>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</si>
  <si>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</si>
  <si>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</si>
  <si>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</si>
  <si>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</si>
  <si>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</si>
  <si>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</si>
  <si>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</si>
  <si>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</si>
  <si>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</si>
  <si>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</si>
  <si>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</si>
  <si>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</si>
  <si>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</si>
  <si>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</si>
  <si>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</si>
  <si>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</si>
  <si>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</si>
  <si>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</si>
  <si>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</si>
  <si>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</si>
  <si>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</si>
  <si>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</si>
  <si>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</si>
  <si>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</si>
  <si>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</si>
  <si>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</si>
  <si>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</si>
  <si>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</si>
  <si>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</si>
  <si>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</si>
  <si>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</si>
  <si>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</si>
  <si>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</si>
  <si>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</si>
  <si>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</si>
  <si>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</si>
  <si>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</si>
  <si>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</si>
  <si>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</si>
  <si>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</si>
  <si>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</si>
  <si>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</si>
  <si>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</si>
  <si>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</si>
  <si>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</si>
  <si>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</si>
  <si>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</si>
  <si>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</si>
  <si>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</si>
  <si>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</si>
  <si>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</si>
  <si>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</si>
  <si>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</si>
  <si>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</si>
  <si>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</si>
  <si>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</si>
  <si>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</si>
  <si>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</si>
  <si>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</si>
  <si>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</si>
  <si>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</si>
  <si>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</si>
  <si>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</si>
  <si>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</si>
  <si>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</si>
  <si>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</si>
  <si>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</si>
  <si>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</si>
  <si>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</si>
  <si>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</si>
  <si>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</si>
  <si>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</si>
  <si>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</si>
  <si>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</si>
  <si>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</si>
  <si>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</si>
  <si>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</si>
  <si>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</si>
  <si>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</si>
  <si>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</si>
  <si>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</si>
  <si>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</si>
  <si>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</si>
  <si>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</si>
  <si>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</si>
  <si>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</si>
  <si>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</si>
  <si>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</si>
  <si>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</si>
  <si>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</si>
  <si>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</si>
  <si>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</si>
  <si>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</si>
  <si>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</si>
  <si>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</si>
  <si>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</si>
  <si>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</si>
  <si>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</si>
  <si>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</si>
  <si>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</si>
  <si>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</si>
  <si>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</si>
  <si>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</si>
  <si>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</si>
  <si>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</si>
  <si>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</si>
  <si>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</si>
  <si>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</si>
  <si>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</si>
  <si>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</si>
  <si>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</si>
  <si>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</si>
  <si>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</si>
  <si>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</si>
  <si>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</si>
  <si>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</si>
  <si>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</si>
  <si>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</si>
  <si>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</si>
  <si>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</si>
  <si>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</si>
  <si>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</si>
  <si>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</si>
  <si>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</si>
  <si>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</si>
  <si>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</si>
  <si>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</si>
  <si>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</si>
  <si>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</si>
  <si>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</si>
  <si>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</si>
  <si>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</si>
  <si>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</si>
  <si>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</si>
  <si>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</si>
  <si>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</si>
  <si>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</si>
  <si>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</si>
  <si>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</si>
  <si>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</si>
  <si>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</si>
  <si>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</si>
  <si>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</si>
  <si>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</si>
  <si>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</si>
  <si>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</si>
  <si>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</si>
  <si>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</si>
  <si>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</si>
  <si>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</si>
  <si>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</si>
  <si>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</si>
  <si>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</si>
  <si>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</si>
  <si>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</si>
  <si>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</si>
  <si>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</si>
  <si>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</si>
  <si>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</si>
  <si>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</si>
  <si>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</si>
  <si>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</si>
  <si>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</si>
  <si>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</si>
  <si>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</si>
  <si>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</si>
  <si>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</si>
  <si>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</si>
  <si>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</si>
  <si>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</si>
  <si>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</si>
  <si>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</si>
  <si>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</si>
  <si>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</si>
  <si>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</si>
  <si>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</si>
  <si>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</si>
  <si>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</si>
  <si>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</si>
  <si>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</si>
  <si>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</si>
  <si>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</si>
  <si>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</si>
  <si>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</si>
  <si>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</si>
  <si>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</si>
  <si>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</si>
  <si>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</si>
  <si>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</si>
  <si>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</si>
  <si>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</si>
  <si>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</si>
  <si>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</si>
  <si>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</si>
  <si>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</si>
  <si>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</si>
  <si>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</si>
  <si>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</si>
  <si>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</si>
  <si>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</si>
  <si>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</si>
  <si>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</si>
  <si>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</si>
  <si>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</si>
  <si>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</si>
  <si>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</si>
  <si>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</si>
  <si>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</si>
  <si>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</si>
  <si>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</si>
  <si>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</si>
  <si>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</si>
  <si>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</si>
  <si>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</si>
  <si>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</si>
  <si>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</si>
  <si>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</si>
  <si>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</si>
  <si>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</si>
  <si>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</si>
  <si>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</si>
  <si>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</si>
  <si>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</si>
  <si>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</si>
  <si>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</si>
  <si>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</si>
  <si>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</si>
  <si>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</si>
  <si>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</si>
  <si>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</si>
  <si>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</si>
  <si>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</si>
  <si>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</si>
  <si>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</si>
  <si>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</si>
  <si>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</si>
  <si>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</si>
  <si>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</si>
  <si>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</si>
  <si>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</si>
  <si>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</si>
  <si>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</si>
  <si>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</si>
  <si>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</si>
  <si>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</si>
  <si>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</si>
  <si>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</si>
  <si>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</si>
  <si>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</si>
  <si>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</si>
  <si>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</si>
  <si>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</si>
  <si>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</si>
  <si>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</si>
  <si>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</si>
  <si>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</si>
  <si>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</si>
  <si>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</si>
  <si>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</si>
  <si>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</si>
  <si>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</si>
  <si>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</si>
  <si>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</si>
  <si>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</si>
  <si>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</si>
  <si>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</si>
  <si>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</si>
  <si>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</si>
  <si>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</si>
  <si>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</si>
  <si>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</si>
  <si>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</si>
  <si>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</si>
  <si>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</si>
  <si>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</si>
  <si>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</si>
  <si>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</si>
  <si>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</si>
  <si>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</si>
  <si>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</si>
  <si>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</si>
  <si>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</si>
  <si>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</si>
  <si>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</si>
  <si>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</si>
  <si>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</si>
  <si>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</si>
  <si>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</si>
  <si>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</si>
  <si>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</si>
  <si>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</si>
  <si>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</si>
  <si>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</si>
  <si>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</si>
  <si>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</si>
  <si>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</si>
  <si>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</si>
  <si>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</si>
  <si>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</si>
  <si>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</si>
  <si>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</si>
  <si>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</si>
  <si>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</si>
  <si>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</si>
  <si>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</si>
  <si>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</si>
  <si>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</si>
  <si>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</si>
  <si>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</si>
  <si>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</si>
  <si>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</si>
  <si>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</si>
  <si>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</si>
  <si>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</si>
  <si>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</si>
  <si>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</si>
  <si>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</si>
  <si>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</si>
  <si>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</si>
  <si>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</si>
  <si>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</si>
  <si>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</si>
  <si>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</si>
  <si>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</si>
  <si>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</si>
  <si>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</si>
  <si>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</si>
  <si>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</si>
  <si>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</si>
  <si>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</si>
  <si>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</si>
  <si>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</si>
  <si>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</si>
  <si>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</si>
  <si>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</si>
  <si>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</si>
  <si>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</si>
  <si>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</si>
  <si>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</si>
  <si>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</si>
  <si>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</si>
  <si>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</si>
  <si>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</si>
  <si>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</si>
  <si>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</si>
  <si>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</si>
  <si>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</si>
  <si>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</si>
  <si>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</si>
  <si>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</si>
  <si>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</si>
  <si>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</si>
  <si>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</si>
  <si>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</si>
  <si>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</si>
  <si>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</si>
  <si>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</si>
  <si>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</si>
  <si>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</si>
  <si>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</si>
  <si>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</si>
  <si>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</si>
  <si>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</si>
  <si>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</si>
  <si>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</si>
  <si>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</si>
  <si>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</si>
  <si>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</si>
  <si>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</si>
  <si>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</si>
  <si>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</si>
  <si>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</si>
  <si>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</si>
  <si>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</si>
  <si>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</si>
  <si>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</si>
  <si>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</si>
  <si>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</si>
  <si>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</si>
  <si>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</si>
  <si>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</si>
  <si>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</si>
  <si>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</si>
  <si>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</si>
  <si>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</si>
  <si>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</si>
  <si>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</si>
  <si>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</si>
  <si>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</si>
  <si>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</si>
  <si>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</si>
  <si>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</si>
  <si>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</si>
  <si>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</si>
  <si>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</si>
  <si>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</si>
  <si>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</si>
  <si>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</si>
  <si>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</si>
  <si>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</si>
  <si>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</si>
  <si>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</si>
  <si>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</si>
  <si>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</si>
  <si>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</si>
  <si>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</si>
  <si>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</si>
  <si>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</si>
  <si>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</si>
  <si>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</si>
  <si>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</si>
  <si>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</si>
  <si>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</si>
  <si>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</si>
  <si>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</si>
  <si>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</si>
  <si>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</si>
  <si>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</si>
  <si>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</si>
  <si>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</si>
  <si>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</si>
  <si>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</si>
  <si>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</si>
  <si>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</si>
  <si>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</si>
  <si>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</si>
  <si>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</si>
  <si>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</si>
  <si>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</si>
  <si>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</si>
  <si>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</si>
  <si>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</si>
  <si>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</si>
  <si>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</si>
  <si>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</si>
  <si>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</si>
  <si>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</si>
  <si>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</si>
  <si>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</si>
  <si>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</si>
  <si>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</si>
  <si>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</si>
  <si>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</si>
  <si>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</si>
  <si>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</si>
  <si>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</si>
  <si>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</si>
  <si>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</si>
  <si>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</si>
  <si>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</si>
  <si>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</si>
  <si>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</si>
  <si>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</si>
  <si>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</si>
  <si>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</si>
  <si>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</si>
  <si>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</si>
  <si>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</si>
  <si>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</si>
  <si>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</si>
  <si>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</si>
  <si>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</si>
  <si>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</si>
  <si>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</si>
  <si>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</si>
  <si>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</si>
  <si>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</si>
  <si>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</si>
  <si>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</si>
  <si>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</si>
  <si>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</si>
  <si>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</si>
  <si>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</si>
  <si>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</si>
  <si>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</si>
  <si>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</si>
  <si>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</si>
  <si>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</si>
  <si>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</si>
  <si>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</si>
  <si>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</si>
  <si>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</si>
  <si>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</si>
  <si>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</si>
  <si>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</si>
  <si>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</si>
  <si>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</si>
  <si>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</si>
  <si>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</si>
  <si>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</si>
  <si>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</si>
  <si>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</si>
  <si>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</si>
  <si>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</si>
  <si>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</si>
  <si>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</si>
  <si>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</si>
  <si>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</si>
  <si>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</si>
  <si>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</si>
  <si>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</si>
  <si>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</si>
  <si>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</si>
  <si>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</si>
  <si>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</si>
  <si>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</si>
  <si>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</si>
  <si>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</si>
  <si>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</si>
  <si>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</si>
  <si>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</si>
  <si>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</si>
  <si>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</si>
  <si>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</si>
  <si>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</si>
  <si>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</si>
  <si>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</si>
  <si>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</si>
  <si>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</si>
  <si>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</si>
  <si>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</si>
  <si>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</si>
  <si>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</si>
  <si>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</si>
  <si>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</si>
  <si>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</si>
  <si>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</si>
  <si>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</si>
  <si>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</si>
  <si>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</si>
  <si>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</si>
  <si>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</si>
  <si>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</si>
  <si>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</si>
  <si>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</si>
  <si>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</si>
  <si>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</si>
  <si>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</si>
  <si>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</si>
  <si>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</si>
  <si>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</si>
  <si>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</si>
  <si>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</si>
  <si>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</si>
  <si>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</si>
  <si>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</si>
  <si>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</si>
  <si>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</si>
  <si>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</si>
  <si>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</si>
  <si>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</si>
  <si>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</si>
  <si>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</si>
  <si>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</si>
  <si>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</si>
  <si>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</si>
  <si>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</si>
  <si>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</si>
  <si>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</si>
  <si>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</si>
  <si>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</si>
  <si>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</si>
  <si>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</si>
  <si>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</si>
  <si>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</si>
  <si>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</si>
  <si>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</si>
  <si>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</si>
  <si>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</si>
  <si>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</si>
  <si>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</si>
  <si>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</si>
  <si>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</si>
  <si>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</si>
  <si>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</si>
  <si>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</si>
  <si>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</si>
  <si>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</si>
  <si>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</si>
  <si>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</si>
  <si>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</si>
  <si>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</si>
  <si>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</si>
  <si>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</si>
  <si>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</si>
  <si>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</si>
  <si>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</si>
  <si>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</si>
  <si>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</si>
  <si>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</si>
  <si>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</si>
  <si>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</si>
  <si>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</si>
  <si>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</si>
  <si>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</si>
  <si>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</si>
  <si>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</si>
  <si>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</si>
  <si>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</si>
  <si>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</si>
  <si>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</si>
  <si>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</si>
  <si>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</si>
  <si>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</si>
  <si>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</si>
  <si>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</si>
  <si>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</si>
  <si>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</si>
  <si>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</si>
  <si>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</si>
  <si>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</si>
  <si>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</si>
  <si>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</si>
  <si>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</si>
  <si>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</si>
  <si>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</si>
  <si>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</si>
  <si>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</si>
  <si>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</si>
  <si>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</si>
  <si>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</si>
  <si>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</si>
  <si>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</si>
  <si>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</si>
  <si>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</si>
  <si>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</si>
  <si>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</si>
  <si>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</si>
  <si>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</si>
  <si>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</si>
  <si>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</si>
  <si>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</si>
  <si>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</si>
  <si>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</si>
  <si>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</si>
  <si>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</si>
  <si>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</si>
  <si>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</si>
  <si>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</si>
  <si>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</si>
  <si>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</si>
  <si>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</si>
  <si>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</si>
  <si>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</si>
  <si>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</si>
  <si>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</si>
  <si>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</si>
  <si>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</si>
  <si>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</si>
  <si>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</si>
  <si>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</si>
  <si>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</si>
  <si>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</si>
  <si>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</si>
  <si>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</si>
  <si>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</si>
  <si>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</si>
  <si>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</si>
  <si>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</si>
  <si>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</si>
  <si>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</si>
  <si>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</si>
  <si>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</si>
  <si>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</si>
  <si>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</si>
  <si>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</si>
  <si>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</si>
  <si>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</si>
  <si>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</si>
  <si>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</si>
  <si>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</si>
  <si>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</si>
  <si>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</si>
  <si>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</si>
  <si>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</si>
  <si>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</si>
  <si>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</si>
  <si>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</si>
  <si>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</si>
  <si>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</si>
  <si>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</si>
  <si>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</si>
  <si>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</si>
  <si>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</si>
  <si>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</si>
  <si>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</si>
  <si>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</si>
  <si>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</si>
  <si>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</si>
  <si>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</si>
  <si>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</si>
  <si>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</si>
  <si>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</si>
  <si>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</si>
  <si>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</si>
  <si>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</si>
  <si>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</si>
  <si>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</si>
  <si>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</si>
  <si>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</si>
  <si>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</si>
  <si>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</si>
  <si>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</si>
  <si>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</si>
  <si>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</si>
  <si>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</si>
  <si>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</si>
  <si>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</si>
  <si>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</si>
  <si>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</si>
  <si>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</si>
  <si>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</si>
  <si>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</si>
  <si>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</si>
  <si>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</si>
  <si>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</si>
  <si>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</si>
  <si>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</si>
  <si>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</si>
  <si>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</si>
  <si>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</si>
  <si>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</si>
  <si>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</si>
  <si>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</si>
  <si>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</si>
  <si>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</si>
  <si>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</si>
  <si>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</si>
  <si>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</si>
  <si>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</si>
  <si>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</si>
  <si>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</si>
  <si>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</si>
  <si>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</si>
  <si>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</si>
  <si>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</si>
  <si>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</si>
  <si>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</si>
  <si>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</si>
  <si>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</si>
  <si>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</si>
  <si>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</si>
  <si>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</si>
  <si>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</si>
  <si>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</si>
  <si>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</si>
  <si>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</si>
  <si>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</si>
  <si>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</si>
  <si>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</si>
  <si>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</si>
  <si>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</si>
  <si>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</si>
  <si>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</si>
  <si>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</si>
  <si>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</si>
  <si>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</si>
  <si>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</si>
  <si>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</si>
  <si>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</si>
  <si>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</si>
  <si>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</si>
  <si>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</si>
  <si>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</si>
  <si>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</si>
  <si>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</si>
  <si>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</si>
  <si>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</si>
  <si>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</si>
  <si>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</si>
  <si>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</si>
  <si>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</si>
  <si>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</si>
  <si>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</si>
  <si>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</si>
  <si>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</si>
  <si>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</si>
  <si>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</si>
  <si>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</si>
  <si>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</si>
  <si>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</si>
  <si>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</si>
  <si>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</si>
  <si>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</si>
  <si>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</si>
  <si>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</si>
  <si>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</si>
  <si>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</si>
  <si>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</si>
  <si>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</si>
  <si>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</si>
  <si>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</si>
  <si>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</si>
  <si>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</si>
  <si>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</si>
  <si>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</si>
  <si>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</si>
  <si>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</si>
  <si>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</si>
  <si>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</si>
  <si>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</si>
  <si>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</si>
  <si>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</si>
  <si>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</si>
  <si>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</si>
  <si>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</si>
  <si>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</si>
  <si>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</si>
  <si>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</si>
  <si>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</si>
  <si>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</si>
  <si>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</si>
  <si>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</si>
  <si>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</si>
  <si>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</si>
  <si>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</si>
  <si>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</si>
  <si>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</si>
  <si>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</si>
  <si>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</si>
  <si>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</si>
  <si>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</si>
  <si>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</si>
  <si>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</si>
  <si>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</si>
  <si>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</si>
  <si>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</si>
  <si>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</si>
  <si>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</si>
  <si>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</si>
  <si>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</si>
  <si>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</si>
  <si>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</si>
  <si>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</si>
  <si>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</si>
  <si>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</si>
  <si>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</si>
  <si>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</si>
  <si>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</si>
  <si>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</si>
  <si>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</si>
  <si>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</si>
  <si>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</si>
  <si>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</si>
  <si>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</si>
  <si>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</si>
  <si>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</si>
  <si>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</si>
  <si>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</si>
  <si>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</si>
  <si>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</si>
  <si>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</si>
  <si>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</si>
  <si>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</si>
  <si>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</si>
  <si>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</si>
  <si>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</si>
  <si>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</si>
  <si>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</si>
  <si>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</si>
  <si>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</si>
  <si>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</si>
  <si>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</si>
  <si>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</si>
  <si>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</si>
  <si>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</si>
  <si>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</si>
  <si>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</si>
  <si>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</si>
  <si>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</si>
  <si>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</si>
  <si>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</si>
  <si>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</si>
  <si>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</si>
  <si>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</si>
  <si>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</si>
  <si>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</si>
  <si>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</si>
  <si>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</si>
  <si>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</si>
  <si>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</si>
  <si>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</si>
  <si>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</si>
  <si>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</si>
  <si>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</si>
  <si>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</si>
  <si>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</si>
  <si>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</si>
  <si>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</si>
  <si>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</si>
  <si>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</si>
  <si>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</si>
  <si>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</si>
  <si>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</si>
  <si>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</si>
  <si>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</si>
  <si>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</si>
  <si>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</si>
  <si>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</si>
  <si>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</si>
  <si>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</si>
  <si>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</si>
  <si>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</si>
  <si>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</si>
  <si>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</si>
  <si>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</si>
  <si>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</si>
  <si>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</si>
  <si>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</si>
  <si>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</si>
  <si>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</si>
  <si>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</si>
  <si>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</si>
  <si>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</si>
  <si>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</si>
  <si>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</si>
  <si>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</si>
  <si>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</si>
  <si>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</si>
  <si>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</si>
  <si>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</si>
  <si>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</si>
  <si>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</si>
  <si>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</si>
  <si>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</si>
  <si>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</si>
  <si>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</si>
  <si>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</si>
  <si>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</si>
  <si>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</si>
  <si>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</si>
  <si>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</si>
  <si>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</si>
  <si>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</si>
  <si>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</si>
  <si>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</si>
  <si>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</si>
  <si>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</si>
  <si>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</si>
  <si>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</si>
  <si>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</si>
  <si>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</si>
  <si>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</si>
  <si>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</si>
  <si>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</si>
  <si>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</si>
  <si>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</si>
  <si>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</si>
  <si>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</si>
  <si>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</si>
  <si>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</si>
  <si>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</si>
  <si>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</si>
  <si>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</si>
  <si>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</si>
  <si>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</si>
  <si>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</si>
  <si>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</si>
  <si>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</si>
  <si>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</si>
  <si>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</si>
  <si>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</si>
  <si>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</si>
  <si>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</si>
  <si>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</si>
  <si>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</si>
  <si>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</si>
  <si>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</si>
  <si>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</si>
  <si>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</si>
  <si>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</si>
  <si>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</si>
  <si>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</si>
  <si>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</si>
  <si>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</si>
  <si>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</si>
  <si>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</si>
  <si>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</si>
  <si>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</si>
  <si>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</si>
  <si>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</si>
  <si>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</si>
  <si>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</si>
  <si>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</si>
  <si>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</si>
  <si>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</si>
  <si>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</si>
  <si>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</si>
  <si>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</si>
  <si>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</si>
  <si>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</si>
  <si>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</si>
  <si>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</si>
  <si>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</si>
  <si>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</si>
  <si>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</si>
  <si>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</si>
  <si>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</si>
  <si>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</si>
  <si>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</si>
  <si>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</si>
  <si>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</si>
  <si>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</si>
  <si>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</si>
  <si>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</si>
  <si>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</si>
  <si>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</si>
  <si>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</si>
  <si>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</si>
  <si>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</si>
  <si>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</si>
  <si>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</si>
  <si>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</si>
  <si>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</si>
  <si>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</si>
  <si>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</si>
  <si>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</si>
  <si>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</si>
  <si>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</si>
  <si>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</si>
  <si>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</si>
  <si>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</si>
  <si>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</si>
  <si>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</si>
  <si>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</si>
  <si>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</si>
  <si>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</si>
  <si>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</si>
  <si>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</si>
  <si>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</si>
  <si>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</si>
  <si>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</si>
  <si>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</si>
  <si>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</si>
  <si>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</si>
  <si>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</si>
  <si>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</si>
  <si>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</si>
  <si>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</si>
  <si>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</si>
  <si>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</si>
  <si>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</si>
  <si>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</si>
  <si>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</si>
  <si>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</si>
  <si>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</si>
  <si>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</si>
  <si>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</si>
  <si>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</si>
  <si>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</si>
  <si>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</si>
  <si>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</si>
  <si>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</si>
  <si>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</si>
  <si>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</si>
  <si>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</si>
  <si>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</si>
  <si>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</si>
  <si>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</si>
  <si>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</si>
  <si>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</si>
  <si>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</si>
  <si>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</si>
  <si>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</si>
  <si>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</si>
  <si>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</si>
  <si>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</si>
  <si>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</si>
  <si>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</si>
  <si>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</si>
  <si>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</si>
  <si>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</si>
  <si>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</si>
  <si>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</si>
  <si>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</si>
  <si>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</si>
  <si>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</si>
  <si>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</si>
  <si>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</si>
  <si>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</si>
  <si>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</si>
  <si>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</si>
  <si>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</si>
  <si>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</si>
  <si>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</si>
  <si>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</si>
  <si>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</si>
  <si>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</si>
  <si>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</si>
  <si>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</si>
  <si>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</si>
  <si>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</si>
  <si>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</si>
  <si>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</si>
  <si>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</si>
  <si>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</si>
  <si>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</si>
  <si>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</si>
  <si>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</si>
  <si>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</si>
  <si>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</si>
  <si>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</si>
  <si>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</si>
  <si>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</si>
  <si>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</si>
  <si>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</si>
  <si>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</si>
  <si>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</si>
  <si>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</si>
  <si>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</si>
  <si>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</si>
  <si>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</si>
  <si>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</si>
  <si>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</si>
  <si>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</si>
  <si>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</si>
  <si>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</si>
  <si>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</si>
  <si>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</si>
  <si>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</si>
  <si>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</si>
  <si>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</si>
  <si>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</si>
  <si>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</si>
  <si>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</si>
  <si>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</si>
  <si>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</si>
  <si>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</si>
  <si>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</si>
  <si>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</si>
  <si>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</si>
  <si>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</si>
  <si>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</si>
  <si>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</si>
  <si>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</si>
  <si>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</si>
  <si>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</si>
  <si>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</si>
  <si>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</si>
  <si>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</si>
  <si>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</si>
  <si>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</si>
  <si>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</si>
  <si>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</si>
  <si>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</si>
  <si>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</si>
  <si>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</si>
  <si>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</si>
  <si>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</si>
  <si>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</si>
  <si>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</si>
  <si>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</si>
  <si>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</si>
  <si>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</si>
  <si>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</si>
  <si>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</si>
  <si>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</si>
  <si>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</si>
  <si>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</si>
  <si>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</si>
  <si>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</si>
  <si>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</si>
  <si>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</si>
  <si>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</si>
  <si>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</si>
  <si>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</si>
  <si>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</si>
  <si>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</si>
  <si>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</si>
  <si>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</si>
  <si>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</si>
  <si>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</si>
  <si>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</si>
  <si>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</si>
  <si>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</si>
  <si>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</si>
  <si>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</si>
  <si>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</si>
  <si>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</si>
  <si>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</si>
  <si>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</si>
  <si>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</si>
  <si>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</si>
  <si>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</si>
  <si>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</si>
  <si>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</si>
  <si>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</si>
  <si>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</si>
  <si>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</si>
  <si>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</si>
  <si>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</si>
  <si>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</si>
  <si>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</si>
  <si>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</si>
  <si>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</si>
  <si>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</si>
  <si>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</si>
  <si>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</si>
  <si>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</si>
  <si>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</si>
  <si>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</si>
  <si>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</si>
  <si>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</si>
  <si>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</si>
  <si>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</si>
  <si>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</si>
  <si>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</si>
  <si>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</si>
  <si>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</si>
  <si>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</si>
  <si>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</si>
  <si>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</si>
  <si>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</si>
  <si>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</si>
  <si>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</si>
  <si>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</si>
  <si>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</si>
  <si>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</si>
  <si>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</si>
  <si>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</si>
  <si>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</si>
  <si>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</si>
  <si>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</si>
  <si>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</si>
  <si>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</si>
  <si>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</si>
  <si>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</si>
  <si>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</si>
  <si>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</si>
  <si>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</si>
  <si>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</si>
  <si>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</si>
  <si>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</si>
  <si>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</si>
  <si>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</si>
  <si>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</si>
  <si>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</si>
  <si>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</si>
  <si>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</si>
  <si>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</si>
  <si>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</si>
  <si>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</si>
  <si>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</si>
  <si>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</si>
  <si>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</si>
  <si>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</si>
  <si>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</si>
  <si>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</si>
  <si>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</si>
  <si>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</si>
  <si>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</si>
  <si>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</si>
  <si>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</si>
  <si>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</si>
  <si>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</si>
  <si>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</si>
  <si>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</si>
  <si>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</si>
  <si>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</si>
  <si>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</si>
  <si>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</si>
  <si>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</si>
  <si>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</si>
  <si>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</si>
  <si>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</si>
  <si>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</si>
  <si>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</si>
  <si>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</si>
  <si>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</si>
  <si>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</si>
  <si>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</si>
  <si>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</si>
  <si>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</si>
  <si>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</si>
  <si>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</si>
  <si>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</si>
  <si>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</si>
  <si>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</si>
  <si>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</si>
  <si>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</si>
  <si>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</si>
  <si>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</si>
  <si>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</si>
  <si>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</si>
  <si>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</si>
  <si>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</si>
  <si>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</si>
  <si>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</si>
  <si>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</si>
  <si>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</si>
  <si>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</si>
  <si>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</si>
  <si>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</si>
  <si>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</si>
  <si>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</si>
  <si>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</si>
  <si>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</si>
  <si>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</si>
  <si>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</si>
  <si>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</si>
  <si>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</si>
  <si>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</si>
  <si>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</si>
  <si>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</si>
  <si>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</si>
  <si>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</si>
  <si>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</si>
  <si>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</si>
  <si>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</si>
  <si>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</si>
  <si>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</si>
  <si>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</si>
  <si>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</si>
  <si>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</si>
  <si>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</si>
  <si>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</si>
  <si>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</si>
  <si>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</si>
  <si>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</si>
  <si>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</si>
  <si>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</si>
  <si>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</si>
  <si>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</si>
  <si>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</si>
  <si>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</si>
  <si>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</si>
  <si>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</si>
  <si>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</si>
  <si>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</si>
  <si>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</si>
  <si>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</si>
  <si>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</si>
  <si>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</si>
  <si>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</si>
  <si>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</si>
  <si>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</si>
  <si>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</si>
  <si>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</si>
  <si>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</si>
  <si>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</si>
  <si>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</si>
  <si>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</si>
  <si>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</si>
  <si>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</si>
  <si>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</si>
  <si>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</si>
  <si>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</si>
  <si>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</si>
  <si>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</si>
  <si>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</si>
  <si>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</si>
  <si>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</si>
  <si>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</si>
  <si>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</si>
  <si>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</si>
  <si>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</si>
  <si>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</si>
  <si>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</si>
  <si>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</si>
  <si>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</si>
  <si>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</si>
  <si>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</si>
  <si>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</si>
  <si>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</si>
  <si>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</si>
  <si>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</si>
  <si>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</si>
  <si>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</si>
  <si>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</si>
  <si>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</si>
  <si>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</si>
  <si>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</si>
  <si>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</si>
  <si>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</si>
  <si>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</si>
  <si>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</si>
  <si>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</si>
  <si>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</si>
  <si>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</si>
  <si>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</si>
  <si>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</si>
  <si>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</si>
  <si>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</si>
  <si>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</si>
  <si>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</si>
  <si>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</si>
  <si>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</si>
  <si>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</si>
  <si>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</si>
  <si>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</si>
  <si>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</si>
  <si>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</si>
  <si>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</si>
  <si>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</si>
  <si>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</si>
  <si>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</si>
  <si>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</si>
  <si>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</si>
  <si>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</si>
  <si>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</si>
  <si>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</si>
  <si>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</si>
  <si>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</si>
  <si>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</si>
  <si>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</si>
  <si>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</si>
  <si>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</si>
  <si>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</si>
  <si>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</si>
  <si>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</si>
  <si>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</si>
  <si>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</si>
  <si>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</si>
  <si>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</si>
  <si>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</si>
  <si>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</si>
  <si>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</si>
  <si>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</si>
  <si>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</si>
  <si>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</si>
  <si>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</si>
  <si>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</si>
  <si>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</si>
  <si>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</si>
  <si>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</si>
  <si>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</si>
  <si>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</si>
  <si>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</si>
  <si>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</si>
  <si>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</si>
  <si>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</si>
  <si>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</si>
  <si>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</si>
  <si>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</si>
  <si>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</si>
  <si>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</si>
  <si>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</si>
  <si>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</si>
  <si>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</si>
  <si>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</si>
  <si>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</si>
  <si>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</si>
  <si>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</si>
  <si>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</si>
  <si>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</si>
  <si>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</si>
  <si>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</si>
  <si>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</si>
  <si>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</si>
  <si>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</si>
  <si>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</si>
  <si>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</si>
  <si>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</si>
  <si>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</si>
  <si>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</si>
  <si>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</si>
  <si>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</si>
  <si>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</si>
  <si>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</si>
  <si>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</si>
  <si>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</si>
  <si>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</si>
  <si>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</si>
  <si>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</si>
  <si>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</si>
  <si>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</si>
  <si>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</si>
  <si>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</si>
  <si>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</si>
  <si>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</si>
  <si>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</si>
  <si>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</si>
  <si>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</si>
  <si>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</si>
  <si>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</si>
  <si>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</si>
  <si>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</si>
  <si>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</si>
  <si>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</si>
  <si>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</si>
  <si>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</si>
  <si>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</si>
  <si>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</si>
  <si>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</si>
  <si>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</si>
  <si>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</si>
  <si>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</si>
  <si>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</si>
  <si>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</si>
  <si>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</si>
  <si>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</si>
  <si>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</si>
  <si>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</si>
  <si>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</si>
  <si>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</si>
  <si>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</si>
  <si>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</si>
  <si>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</si>
  <si>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</si>
  <si>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</si>
  <si>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</si>
  <si>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</si>
  <si>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</si>
  <si>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</si>
  <si>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</si>
  <si>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</si>
  <si>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</si>
  <si>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</si>
  <si>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</si>
  <si>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</si>
  <si>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</si>
  <si>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</si>
  <si>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</si>
  <si>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</si>
  <si>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</si>
  <si>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</si>
  <si>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</si>
  <si>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</si>
  <si>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</si>
  <si>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</si>
  <si>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</si>
  <si>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</si>
  <si>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</si>
  <si>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</si>
  <si>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</si>
  <si>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</si>
  <si>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</si>
  <si>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</si>
  <si>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</si>
  <si>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</si>
  <si>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</si>
  <si>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</si>
  <si>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</si>
  <si>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</si>
  <si>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</si>
  <si>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</si>
  <si>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</si>
  <si>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</si>
  <si>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</si>
  <si>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</si>
  <si>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</si>
  <si>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</si>
  <si>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</si>
  <si>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</si>
  <si>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</si>
  <si>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</si>
  <si>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</si>
  <si>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</si>
  <si>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</si>
  <si>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</si>
  <si>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</si>
  <si>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</si>
  <si>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</si>
  <si>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</si>
  <si>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</si>
  <si>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</si>
  <si>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</si>
  <si>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</si>
  <si>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</si>
  <si>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</si>
  <si>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</si>
  <si>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</si>
  <si>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</si>
  <si>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</si>
  <si>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</si>
  <si>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</si>
  <si>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</si>
  <si>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</si>
  <si>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</si>
  <si>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</si>
  <si>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</si>
  <si>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</si>
  <si>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</si>
  <si>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</si>
  <si>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</si>
  <si>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</si>
  <si>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</si>
  <si>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</si>
  <si>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</si>
  <si>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</si>
  <si>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</si>
  <si>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</si>
  <si>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</si>
  <si>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</si>
  <si>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</si>
  <si>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</si>
  <si>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</si>
  <si>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</si>
  <si>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</si>
  <si>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</si>
  <si>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</si>
  <si>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</si>
  <si>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</si>
  <si>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</si>
  <si>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</si>
  <si>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</si>
  <si>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</si>
  <si>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</si>
  <si>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</si>
  <si>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</si>
  <si>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</si>
  <si>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</si>
  <si>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</si>
  <si>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</si>
  <si>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</si>
  <si>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</si>
  <si>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</si>
  <si>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</si>
  <si>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</si>
  <si>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</si>
  <si>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</si>
  <si>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</si>
  <si>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</si>
  <si>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</si>
  <si>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</si>
  <si>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</si>
  <si>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</si>
  <si>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</si>
  <si>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</si>
  <si>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</si>
  <si>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</si>
  <si>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</si>
  <si>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</si>
  <si>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</si>
  <si>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</si>
  <si>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</si>
  <si>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</si>
  <si>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</si>
  <si>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</si>
  <si>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</si>
  <si>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</si>
  <si>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</si>
  <si>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</si>
  <si>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</si>
  <si>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</si>
  <si>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</si>
  <si>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</si>
  <si>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</si>
  <si>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</si>
  <si>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</si>
  <si>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</si>
  <si>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</si>
  <si>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</si>
  <si>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</si>
  <si>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</si>
  <si>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</si>
  <si>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</si>
  <si>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</si>
  <si>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</si>
  <si>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</si>
  <si>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</si>
  <si>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</si>
  <si>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</si>
  <si>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</si>
  <si>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</si>
  <si>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</si>
  <si>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</si>
  <si>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</si>
  <si>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</si>
  <si>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</si>
  <si>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</si>
  <si>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</si>
  <si>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</si>
  <si>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</si>
  <si>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</si>
  <si>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</si>
  <si>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</si>
  <si>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</si>
  <si>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</si>
  <si>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</si>
  <si>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</si>
  <si>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</si>
  <si>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</si>
  <si>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</si>
  <si>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</si>
  <si>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</si>
  <si>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</si>
  <si>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</si>
  <si>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</si>
  <si>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</si>
  <si>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</si>
  <si>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</si>
  <si>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</si>
  <si>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</si>
  <si>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</si>
  <si>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</si>
  <si>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</si>
  <si>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</si>
  <si>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</si>
  <si>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</si>
  <si>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</si>
  <si>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</si>
  <si>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</si>
  <si>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</si>
  <si>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</si>
  <si>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</si>
  <si>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</si>
  <si>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</si>
  <si>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</si>
  <si>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</si>
  <si>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</si>
  <si>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</si>
  <si>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</si>
  <si>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</si>
  <si>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</si>
  <si>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</si>
  <si>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</si>
  <si>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</si>
  <si>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</si>
  <si>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</si>
  <si>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</si>
  <si>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</si>
  <si>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</si>
  <si>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</si>
  <si>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</si>
  <si>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</si>
  <si>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</si>
  <si>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</si>
  <si>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</si>
  <si>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</si>
  <si>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</si>
  <si>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</si>
  <si>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</si>
  <si>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</si>
  <si>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</si>
  <si>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</si>
  <si>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</si>
  <si>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</si>
  <si>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</si>
  <si>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</si>
  <si>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</si>
  <si>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</si>
  <si>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</si>
  <si>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</si>
  <si>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</si>
  <si>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</si>
  <si>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</si>
  <si>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</si>
  <si>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</si>
  <si>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</si>
  <si>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</si>
  <si>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</si>
  <si>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</si>
  <si>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</si>
  <si>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</si>
  <si>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</si>
  <si>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</si>
  <si>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</si>
  <si>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</si>
  <si>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</si>
  <si>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</si>
  <si>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</si>
  <si>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</si>
  <si>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</si>
  <si>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</si>
  <si>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</si>
  <si>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</si>
  <si>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</si>
  <si>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</si>
  <si>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</si>
  <si>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</si>
  <si>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</si>
  <si>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</si>
  <si>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</si>
  <si>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</si>
  <si>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</si>
  <si>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</si>
  <si>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</si>
  <si>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</si>
  <si>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</si>
  <si>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</si>
  <si>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</si>
  <si>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</si>
  <si>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</si>
  <si>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</si>
  <si>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</si>
  <si>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</si>
  <si>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</si>
  <si>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</si>
  <si>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</si>
  <si>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</si>
  <si>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</si>
  <si>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</si>
  <si>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</si>
  <si>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</si>
  <si>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</si>
  <si>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</si>
  <si>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</si>
  <si>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</si>
  <si>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</si>
  <si>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</si>
  <si>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</si>
  <si>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</si>
  <si>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</si>
  <si>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</si>
  <si>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</si>
  <si>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</si>
  <si>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</si>
  <si>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</si>
  <si>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</si>
  <si>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</si>
  <si>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</si>
  <si>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</si>
  <si>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</si>
  <si>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</si>
  <si>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</si>
  <si>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</si>
  <si>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</si>
  <si>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</si>
  <si>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</si>
  <si>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</si>
  <si>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</si>
  <si>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</si>
  <si>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</si>
  <si>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</si>
  <si>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</si>
  <si>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</si>
  <si>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</si>
  <si>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</si>
  <si>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</si>
  <si>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</si>
  <si>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</si>
  <si>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</si>
  <si>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</si>
  <si>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</si>
  <si>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</si>
  <si>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</si>
  <si>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</si>
  <si>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</si>
  <si>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</si>
  <si>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</si>
  <si>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</si>
  <si>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</si>
  <si>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</si>
  <si>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</si>
  <si>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</si>
  <si>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</si>
  <si>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</si>
  <si>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</si>
  <si>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</si>
  <si>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</si>
  <si>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</si>
  <si>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</si>
  <si>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</si>
  <si>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</si>
  <si>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</si>
  <si>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</si>
  <si>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</si>
  <si>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</si>
  <si>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</si>
  <si>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</si>
  <si>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</si>
  <si>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</si>
  <si>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</si>
  <si>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</si>
  <si>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</si>
  <si>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</si>
  <si>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</si>
  <si>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</si>
  <si>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</si>
  <si>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</si>
  <si>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</si>
  <si>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</si>
  <si>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</si>
  <si>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</si>
  <si>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</si>
  <si>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</si>
  <si>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</si>
  <si>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</si>
  <si>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</si>
  <si>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</si>
  <si>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</si>
  <si>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</si>
  <si>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</si>
  <si>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</si>
  <si>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</si>
  <si>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</si>
  <si>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</si>
  <si>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</si>
  <si>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</si>
  <si>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</si>
  <si>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</si>
  <si>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</si>
  <si>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</si>
  <si>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</si>
  <si>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</si>
  <si>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</si>
  <si>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</si>
  <si>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</si>
  <si>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</si>
  <si>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</si>
  <si>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</si>
  <si>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</si>
  <si>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</si>
  <si>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</si>
  <si>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</si>
  <si>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</si>
  <si>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</si>
  <si>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</si>
  <si>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</si>
  <si>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</si>
  <si>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</si>
  <si>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</si>
  <si>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</si>
  <si>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</si>
  <si>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</si>
  <si>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</si>
  <si>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</si>
  <si>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</si>
  <si>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</si>
  <si>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</si>
  <si>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</si>
  <si>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</si>
  <si>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</si>
  <si>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</si>
  <si>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</si>
  <si>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</si>
  <si>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</si>
  <si>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</si>
  <si>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</si>
  <si>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</si>
  <si>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</si>
  <si>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</si>
  <si>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</si>
  <si>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</si>
  <si>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</si>
  <si>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</si>
  <si>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</si>
  <si>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</si>
  <si>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</si>
  <si>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</si>
  <si>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</si>
  <si>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</si>
  <si>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</si>
  <si>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</si>
  <si>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</si>
  <si>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</si>
  <si>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</si>
  <si>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</si>
  <si>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</si>
  <si>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</si>
  <si>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</si>
  <si>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</si>
  <si>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</si>
  <si>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</si>
  <si>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</si>
  <si>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</si>
  <si>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</si>
  <si>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</si>
  <si>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</si>
  <si>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</si>
  <si>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</si>
  <si>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</si>
  <si>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</si>
  <si>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</si>
  <si>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</si>
  <si>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</si>
  <si>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</si>
  <si>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</si>
  <si>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</si>
  <si>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</si>
  <si>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</si>
  <si>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</si>
  <si>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</si>
  <si>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</si>
  <si>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</si>
  <si>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</si>
  <si>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</si>
  <si>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</si>
  <si>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</si>
  <si>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</si>
  <si>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</si>
  <si>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</si>
  <si>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</si>
  <si>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</si>
  <si>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</si>
  <si>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</si>
  <si>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</si>
  <si>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</si>
  <si>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</si>
  <si>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</si>
  <si>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</si>
  <si>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</si>
  <si>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</si>
  <si>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</si>
  <si>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</si>
  <si>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</si>
  <si>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</si>
  <si>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</si>
  <si>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</si>
  <si>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</si>
  <si>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</si>
  <si>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</si>
  <si>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</si>
  <si>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</si>
  <si>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</si>
  <si>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</si>
  <si>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</si>
  <si>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</si>
  <si>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</si>
  <si>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</si>
  <si>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</si>
  <si>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</si>
  <si>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</si>
  <si>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</si>
  <si>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</si>
  <si>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</si>
  <si>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</si>
  <si>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</si>
  <si>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</si>
  <si>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</si>
  <si>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</si>
  <si>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</si>
  <si>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</si>
  <si>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</si>
  <si>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</si>
  <si>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</si>
  <si>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</si>
  <si>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</si>
  <si>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</si>
  <si>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</si>
  <si>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</si>
  <si>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</si>
  <si>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</si>
  <si>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</si>
  <si>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</si>
  <si>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</si>
  <si>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</si>
  <si>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</si>
  <si>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</si>
  <si>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</si>
  <si>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</si>
  <si>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</si>
  <si>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</si>
  <si>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</si>
  <si>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</si>
  <si>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</si>
  <si>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</si>
  <si>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</si>
  <si>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</si>
  <si>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</si>
  <si>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</si>
  <si>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</si>
  <si>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</si>
  <si>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</si>
  <si>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</si>
  <si>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</si>
  <si>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</si>
  <si>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</si>
  <si>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</si>
  <si>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</si>
  <si>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</si>
  <si>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</si>
  <si>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</si>
  <si>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</si>
  <si>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</si>
  <si>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</si>
  <si>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</si>
  <si>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</si>
  <si>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</si>
  <si>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</si>
  <si>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</si>
  <si>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</si>
  <si>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</si>
  <si>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</si>
  <si>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</si>
  <si>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</si>
  <si>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</si>
  <si>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</si>
  <si>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</si>
  <si>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</si>
  <si>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</si>
  <si>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</si>
  <si>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</si>
  <si>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</si>
  <si>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</si>
  <si>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</si>
  <si>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</si>
  <si>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</si>
  <si>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</si>
  <si>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</si>
  <si>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</si>
  <si>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</si>
  <si>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</si>
  <si>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</si>
  <si>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</si>
  <si>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</si>
  <si>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</si>
  <si>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</si>
  <si>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</si>
  <si>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</si>
  <si>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</si>
  <si>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</si>
  <si>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</si>
  <si>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</si>
  <si>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</si>
  <si>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</si>
  <si>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</si>
  <si>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</si>
  <si>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</si>
  <si>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</si>
  <si>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</si>
  <si>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</si>
  <si>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</si>
  <si>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</si>
  <si>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</si>
  <si>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</si>
  <si>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</si>
  <si>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</si>
  <si>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</si>
  <si>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</si>
  <si>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</si>
  <si>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</si>
  <si>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</si>
  <si>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</si>
  <si>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</si>
  <si>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</si>
  <si>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</si>
  <si>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</si>
  <si>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</si>
  <si>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</si>
  <si>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</si>
  <si>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</si>
  <si>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</si>
  <si>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</si>
  <si>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</si>
  <si>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</si>
  <si>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</si>
  <si>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</si>
  <si>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</si>
  <si>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</si>
  <si>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</si>
  <si>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</si>
  <si>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</si>
  <si>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</si>
  <si>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</si>
  <si>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</si>
  <si>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</si>
  <si>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</si>
  <si>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</si>
  <si>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</si>
  <si>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</si>
  <si>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</si>
  <si>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</si>
  <si>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</si>
  <si>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</si>
  <si>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</si>
  <si>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</si>
  <si>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</si>
  <si>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</si>
  <si>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</si>
  <si>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</si>
  <si>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</si>
  <si>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</si>
  <si>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</si>
  <si>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</si>
  <si>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</si>
  <si>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</si>
  <si>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</si>
  <si>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</si>
  <si>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</si>
  <si>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</si>
  <si>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</si>
  <si>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</si>
  <si>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</si>
  <si>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</si>
  <si>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</si>
  <si>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</si>
  <si>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</si>
  <si>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</si>
  <si>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</si>
  <si>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</si>
  <si>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</si>
  <si>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</si>
  <si>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</si>
  <si>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</si>
  <si>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</si>
  <si>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</si>
  <si>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</si>
  <si>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</si>
  <si>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</si>
  <si>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</si>
  <si>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</si>
  <si>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</si>
  <si>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</si>
  <si>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</si>
  <si>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</si>
  <si>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</si>
  <si>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</si>
  <si>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</si>
  <si>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</si>
  <si>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</si>
  <si>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</si>
  <si>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</si>
  <si>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</si>
  <si>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</si>
  <si>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</si>
  <si>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</si>
  <si>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</si>
  <si>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</si>
  <si>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</si>
  <si>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</si>
  <si>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</si>
  <si>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</si>
  <si>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</si>
  <si>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</si>
  <si>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</si>
  <si>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</si>
  <si>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</si>
  <si>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</si>
  <si>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</si>
  <si>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</si>
  <si>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</si>
  <si>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</si>
  <si>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</si>
  <si>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</si>
  <si>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</si>
  <si>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</si>
  <si>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</si>
  <si>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</si>
  <si>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</si>
  <si>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</si>
  <si>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</si>
  <si>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</si>
  <si>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</si>
  <si>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</si>
  <si>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</si>
  <si>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</si>
  <si>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</si>
  <si>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</si>
  <si>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</si>
  <si>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</si>
  <si>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</si>
  <si>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</si>
  <si>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</si>
  <si>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</si>
  <si>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</si>
  <si>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</si>
  <si>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</si>
  <si>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</si>
  <si>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</si>
  <si>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</si>
  <si>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</si>
  <si>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</si>
  <si>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</si>
  <si>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</si>
  <si>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</si>
  <si>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</si>
  <si>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</si>
  <si>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</si>
  <si>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</si>
  <si>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</si>
  <si>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</si>
  <si>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</si>
  <si>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</si>
  <si>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</si>
  <si>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</si>
  <si>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</si>
  <si>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</si>
  <si>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</si>
  <si>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</si>
  <si>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</si>
  <si>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</si>
  <si>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</si>
  <si>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</si>
  <si>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</si>
  <si>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</si>
  <si>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</si>
  <si>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</si>
  <si>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</si>
  <si>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</si>
  <si>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</si>
  <si>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</si>
  <si>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</si>
  <si>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</si>
  <si>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</si>
  <si>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</si>
  <si>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</si>
  <si>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</si>
  <si>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</si>
  <si>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</si>
  <si>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</si>
  <si>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</si>
  <si>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</si>
  <si>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</si>
  <si>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</si>
  <si>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</si>
  <si>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</si>
  <si>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</si>
  <si>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</si>
  <si>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</si>
  <si>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</si>
  <si>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</si>
  <si>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</si>
  <si>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</si>
  <si>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</si>
  <si>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</si>
  <si>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</si>
  <si>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</si>
  <si>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</si>
  <si>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</si>
  <si>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</si>
  <si>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</si>
  <si>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</si>
  <si>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</si>
  <si>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</si>
  <si>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</si>
  <si>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</si>
  <si>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</si>
  <si>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</si>
  <si>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</si>
  <si>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</si>
  <si>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</si>
  <si>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</si>
  <si>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</si>
  <si>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</si>
  <si>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</si>
  <si>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</si>
  <si>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</si>
  <si>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</si>
  <si>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</si>
  <si>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</si>
  <si>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</si>
  <si>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</si>
  <si>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</si>
  <si>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</si>
  <si>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</si>
  <si>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</si>
  <si>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</si>
  <si>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</si>
  <si>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</si>
  <si>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</si>
  <si>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</si>
  <si>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</si>
  <si>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</si>
  <si>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</si>
  <si>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</si>
  <si>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</si>
  <si>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</si>
  <si>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</si>
  <si>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</si>
  <si>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</si>
  <si>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</si>
  <si>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</si>
  <si>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</si>
  <si>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</si>
  <si>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</si>
  <si>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</si>
  <si>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</si>
  <si>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</si>
  <si>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</si>
  <si>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</si>
  <si>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</si>
  <si>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</si>
  <si>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</si>
  <si>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</si>
  <si>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</si>
  <si>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</si>
  <si>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</si>
  <si>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</si>
  <si>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</si>
  <si>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</si>
  <si>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</si>
  <si>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</si>
  <si>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</si>
  <si>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</si>
  <si>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</si>
  <si>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</si>
  <si>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</si>
  <si>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</si>
  <si>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</si>
  <si>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</si>
  <si>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</si>
  <si>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</si>
  <si>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</si>
  <si>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</si>
  <si>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</si>
  <si>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</si>
  <si>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</si>
  <si>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</si>
  <si>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</si>
  <si>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</si>
  <si>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</si>
  <si>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</si>
  <si>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</si>
  <si>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</si>
  <si>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</si>
  <si>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</si>
  <si>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</si>
  <si>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</si>
  <si>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</si>
  <si>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</si>
  <si>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</si>
  <si>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</si>
  <si>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</si>
  <si>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</si>
  <si>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</si>
  <si>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</si>
  <si>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</si>
  <si>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</si>
  <si>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</si>
  <si>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</si>
  <si>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</si>
  <si>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</si>
  <si>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</si>
  <si>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</si>
  <si>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</si>
  <si>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</si>
  <si>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</si>
  <si>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</si>
  <si>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</si>
  <si>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</si>
  <si>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</si>
  <si>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</si>
  <si>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</si>
  <si>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</si>
  <si>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</si>
  <si>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</si>
  <si>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</si>
  <si>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</si>
  <si>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</si>
  <si>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</si>
  <si>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</si>
  <si>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</si>
  <si>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</si>
  <si>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</si>
  <si>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</si>
  <si>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</si>
  <si>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</si>
  <si>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</si>
  <si>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</si>
  <si>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</si>
  <si>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</si>
  <si>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</si>
  <si>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</si>
  <si>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</si>
  <si>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</si>
  <si>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</si>
  <si>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</si>
  <si>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</si>
  <si>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</si>
  <si>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</si>
  <si>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</si>
  <si>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</si>
  <si>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</si>
  <si>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</si>
  <si>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</si>
  <si>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</si>
  <si>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</si>
  <si>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</si>
  <si>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</si>
  <si>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</si>
  <si>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</si>
  <si>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</si>
  <si>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</si>
  <si>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</si>
  <si>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</si>
  <si>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</si>
  <si>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</si>
  <si>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</si>
  <si>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</si>
  <si>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</si>
  <si>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</si>
  <si>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</si>
  <si>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</si>
  <si>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</si>
  <si>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</si>
  <si>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</si>
  <si>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</si>
  <si>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</si>
  <si>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</si>
  <si>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</si>
  <si>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</si>
  <si>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</si>
  <si>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</si>
  <si>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</si>
  <si>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</si>
  <si>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</si>
  <si>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</si>
  <si>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</si>
  <si>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</si>
  <si>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</si>
  <si>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</si>
  <si>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</si>
  <si>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</si>
  <si>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</si>
  <si>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</si>
  <si>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</si>
  <si>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</si>
  <si>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</si>
  <si>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</si>
  <si>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</si>
  <si>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</si>
  <si>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</si>
  <si>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</si>
  <si>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</si>
  <si>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</si>
  <si>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</si>
  <si>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</si>
  <si>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</si>
  <si>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</si>
  <si>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</si>
  <si>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</si>
  <si>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</si>
  <si>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</si>
  <si>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</si>
  <si>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</si>
  <si>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</si>
  <si>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</si>
  <si>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</si>
  <si>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</si>
  <si>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</si>
  <si>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</si>
  <si>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</si>
  <si>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</si>
  <si>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</si>
  <si>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</si>
  <si>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</si>
  <si>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</si>
  <si>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</si>
  <si>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</si>
  <si>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</si>
  <si>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</si>
  <si>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</si>
  <si>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</si>
  <si>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</si>
  <si>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</si>
  <si>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</si>
  <si>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</si>
  <si>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</si>
  <si>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</si>
  <si>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</si>
  <si>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</si>
  <si>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</si>
  <si>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</si>
  <si>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</si>
  <si>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</si>
  <si>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</si>
  <si>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</si>
  <si>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</si>
  <si>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</si>
  <si>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</si>
  <si>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</si>
  <si>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</si>
  <si>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</si>
  <si>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</si>
  <si>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</si>
  <si>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</si>
  <si>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</si>
  <si>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</si>
  <si>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</si>
  <si>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</si>
  <si>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</si>
  <si>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</si>
  <si>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</si>
  <si>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</si>
  <si>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</si>
  <si>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</si>
  <si>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</si>
  <si>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</si>
  <si>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</si>
  <si>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</si>
  <si>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</si>
  <si>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</si>
  <si>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</si>
  <si>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</si>
  <si>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</si>
  <si>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</si>
  <si>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</si>
  <si>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</si>
  <si>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</si>
  <si>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</si>
  <si>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</si>
  <si>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</si>
  <si>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</si>
  <si>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</si>
  <si>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</si>
  <si>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</si>
  <si>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</si>
  <si>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</si>
  <si>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</si>
  <si>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</si>
  <si>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</si>
  <si>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</si>
  <si>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</si>
  <si>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</si>
  <si>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</si>
  <si>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</si>
  <si>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</si>
  <si>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</si>
  <si>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</si>
  <si>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</si>
  <si>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</si>
  <si>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</si>
  <si>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</si>
  <si>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</si>
  <si>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</si>
  <si>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</si>
  <si>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</si>
  <si>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</si>
  <si>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</si>
  <si>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</si>
  <si>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</si>
  <si>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</si>
  <si>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</si>
  <si>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</si>
  <si>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</si>
  <si>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</si>
  <si>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</si>
  <si>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</si>
  <si>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</si>
  <si>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</si>
  <si>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</si>
  <si>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</si>
  <si>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</si>
  <si>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</si>
  <si>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</si>
  <si>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</si>
  <si>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</si>
  <si>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</si>
  <si>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</si>
  <si>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</si>
  <si>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</si>
  <si>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</si>
  <si>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</si>
  <si>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</si>
  <si>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</si>
  <si>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</si>
  <si>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</si>
  <si>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</si>
  <si>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</si>
  <si>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</si>
  <si>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</si>
  <si>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</si>
  <si>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</si>
  <si>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</si>
  <si>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</si>
  <si>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</si>
  <si>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</si>
  <si>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</si>
  <si>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</si>
  <si>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</si>
  <si>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</si>
  <si>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</si>
  <si>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</si>
  <si>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</si>
  <si>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</si>
  <si>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</si>
  <si>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</si>
  <si>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</si>
  <si>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</si>
  <si>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</si>
  <si>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</si>
  <si>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</si>
  <si>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</si>
  <si>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</si>
  <si>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</si>
  <si>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</si>
  <si>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</si>
  <si>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</si>
  <si>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</si>
  <si>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</si>
  <si>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</si>
  <si>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</si>
  <si>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</si>
  <si>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</si>
  <si>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</si>
  <si>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</si>
  <si>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</si>
  <si>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</si>
  <si>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</si>
  <si>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</si>
  <si>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</si>
  <si>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</si>
  <si>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</si>
  <si>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</si>
  <si>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</si>
  <si>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</si>
  <si>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</si>
  <si>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</si>
  <si>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</si>
  <si>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</si>
  <si>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</si>
  <si>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</si>
  <si>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</si>
  <si>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</si>
  <si>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</si>
  <si>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</si>
  <si>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</si>
  <si>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</si>
  <si>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</si>
  <si>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</si>
  <si>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</si>
  <si>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</si>
  <si>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</si>
  <si>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</si>
  <si>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</si>
  <si>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</si>
  <si>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</si>
  <si>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</si>
  <si>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</si>
  <si>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</si>
  <si>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</si>
  <si>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</si>
  <si>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</si>
  <si>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</si>
  <si>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</si>
  <si>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</si>
  <si>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</si>
  <si>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</si>
  <si>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</si>
  <si>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</si>
  <si>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</si>
  <si>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</si>
  <si>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</si>
  <si>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</si>
  <si>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</si>
  <si>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</si>
  <si>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</si>
  <si>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</si>
  <si>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</si>
  <si>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</si>
  <si>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</si>
  <si>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</si>
  <si>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</si>
  <si>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</si>
  <si>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</si>
  <si>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</si>
  <si>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</si>
  <si>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</si>
  <si>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</si>
  <si>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</si>
  <si>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</si>
  <si>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</si>
  <si>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</si>
  <si>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</si>
  <si>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</si>
  <si>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</si>
  <si>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</si>
  <si>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</si>
  <si>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</si>
  <si>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</si>
  <si>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</si>
  <si>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</si>
  <si>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</si>
  <si>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</si>
  <si>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</si>
  <si>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</si>
  <si>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</si>
  <si>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</si>
  <si>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</si>
  <si>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</si>
  <si>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</si>
  <si>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</si>
  <si>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</si>
  <si>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</si>
  <si>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</si>
  <si>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</si>
  <si>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</si>
  <si>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</si>
  <si>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</si>
  <si>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</si>
  <si>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</si>
  <si>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</si>
  <si>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</si>
  <si>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</si>
  <si>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</si>
  <si>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</si>
  <si>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</si>
  <si>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</si>
  <si>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</si>
  <si>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</si>
  <si>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</si>
  <si>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</si>
  <si>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</si>
  <si>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</si>
  <si>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</si>
  <si>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</si>
  <si>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</si>
  <si>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</si>
  <si>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</si>
  <si>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</si>
  <si>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</si>
  <si>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</si>
  <si>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</si>
  <si>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</si>
  <si>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</si>
  <si>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</si>
  <si>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</si>
  <si>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</si>
  <si>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</si>
  <si>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</si>
  <si>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</si>
  <si>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</si>
  <si>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</si>
  <si>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</si>
  <si>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</si>
  <si>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</si>
  <si>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</si>
  <si>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</si>
  <si>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</si>
  <si>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</si>
  <si>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</si>
  <si>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</si>
  <si>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</si>
  <si>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</si>
  <si>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</si>
  <si>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</si>
  <si>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</si>
  <si>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</si>
  <si>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</si>
  <si>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</si>
  <si>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</si>
  <si>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</si>
  <si>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</si>
  <si>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</si>
  <si>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</si>
  <si>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</si>
  <si>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</si>
  <si>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</si>
  <si>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</si>
  <si>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</si>
  <si>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</si>
  <si>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</si>
  <si>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</si>
  <si>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</si>
  <si>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</si>
  <si>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</si>
  <si>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</si>
  <si>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</si>
  <si>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</si>
  <si>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</si>
  <si>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</si>
  <si>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</si>
  <si>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</si>
  <si>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</si>
  <si>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</si>
  <si>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</si>
  <si>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</si>
  <si>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</si>
  <si>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</si>
  <si>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</si>
  <si>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</si>
  <si>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</si>
  <si>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</si>
  <si>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</si>
  <si>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</si>
  <si>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</si>
  <si>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</si>
  <si>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</si>
  <si>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</si>
  <si>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</si>
  <si>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</si>
  <si>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</si>
  <si>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</si>
  <si>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</si>
  <si>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</si>
  <si>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</si>
  <si>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</si>
  <si>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</si>
  <si>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</si>
  <si>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</si>
  <si>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</si>
  <si>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</si>
  <si>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</si>
  <si>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</si>
  <si>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</si>
  <si>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</si>
  <si>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</si>
  <si>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</si>
  <si>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</si>
  <si>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</si>
  <si>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</si>
  <si>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</si>
  <si>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</si>
  <si>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</si>
  <si>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</si>
  <si>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</si>
  <si>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</si>
  <si>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</si>
  <si>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</si>
  <si>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</si>
  <si>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</si>
  <si>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</si>
  <si>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</si>
  <si>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</si>
  <si>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</si>
  <si>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</si>
  <si>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</si>
  <si>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</si>
  <si>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</si>
  <si>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</si>
  <si>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</si>
  <si>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</si>
  <si>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</si>
  <si>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</si>
  <si>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</si>
  <si>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</si>
  <si>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</si>
  <si>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</si>
  <si>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</si>
  <si>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</si>
  <si>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</si>
  <si>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</si>
  <si>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</si>
  <si>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</si>
  <si>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</si>
  <si>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</si>
  <si>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</si>
  <si>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</si>
  <si>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</si>
  <si>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</si>
  <si>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</si>
  <si>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</si>
  <si>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</si>
  <si>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</si>
  <si>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</si>
  <si>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</si>
  <si>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</si>
  <si>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</si>
  <si>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</si>
  <si>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</si>
  <si>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</si>
  <si>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</si>
  <si>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</si>
  <si>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</si>
  <si>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</si>
  <si>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</si>
  <si>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</si>
  <si>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</si>
  <si>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</si>
  <si>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</si>
  <si>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</si>
  <si>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</si>
  <si>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</si>
  <si>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</si>
  <si>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</si>
  <si>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</si>
  <si>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</si>
  <si>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</si>
  <si>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</si>
  <si>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</si>
  <si>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</si>
  <si>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</si>
  <si>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</si>
  <si>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</si>
  <si>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</si>
  <si>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</si>
  <si>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</si>
  <si>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</si>
  <si>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</si>
  <si>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</si>
  <si>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</si>
  <si>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</si>
  <si>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</si>
  <si>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</si>
  <si>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</si>
  <si>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</si>
  <si>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</si>
  <si>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</si>
  <si>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</si>
  <si>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</si>
  <si>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</si>
  <si>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</si>
  <si>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</si>
  <si>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</si>
  <si>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</si>
  <si>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</si>
  <si>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</si>
  <si>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</si>
  <si>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</si>
  <si>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</si>
  <si>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</si>
  <si>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</si>
  <si>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</si>
  <si>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</si>
  <si>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</si>
  <si>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</si>
  <si>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</si>
  <si>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</si>
  <si>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</si>
  <si>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</si>
  <si>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</si>
  <si>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</si>
  <si>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</si>
  <si>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</si>
  <si>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</si>
  <si>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</si>
  <si>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</si>
  <si>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</si>
  <si>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</si>
  <si>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</si>
  <si>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</si>
  <si>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</si>
  <si>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</si>
  <si>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</si>
  <si>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</si>
  <si>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</si>
  <si>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</si>
  <si>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</si>
  <si>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</si>
  <si>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</si>
  <si>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</si>
  <si>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</si>
  <si>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</si>
  <si>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</si>
  <si>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</si>
  <si>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</si>
  <si>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</si>
  <si>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</si>
  <si>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</si>
  <si>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</si>
  <si>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</si>
  <si>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</si>
  <si>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</si>
  <si>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</si>
  <si>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</si>
  <si>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</si>
  <si>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</si>
  <si>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</si>
  <si>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</si>
  <si>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</si>
  <si>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</si>
  <si>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</si>
  <si>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</si>
  <si>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</si>
  <si>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</si>
  <si>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</si>
  <si>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</si>
  <si>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</si>
  <si>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</si>
  <si>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</si>
  <si>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</si>
  <si>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</si>
  <si>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</si>
  <si>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</si>
  <si>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</si>
  <si>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</si>
  <si>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</si>
  <si>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</si>
  <si>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</si>
  <si>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</si>
  <si>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</si>
  <si>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</si>
  <si>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</si>
  <si>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</si>
  <si>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</si>
  <si>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</si>
  <si>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</si>
  <si>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</si>
  <si>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</si>
  <si>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</si>
  <si>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</si>
  <si>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</si>
  <si>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</si>
  <si>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</si>
  <si>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</si>
  <si>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</si>
  <si>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</si>
  <si>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</si>
  <si>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</si>
  <si>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</si>
  <si>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</si>
  <si>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</si>
  <si>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</si>
  <si>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</si>
  <si>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</si>
  <si>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</si>
  <si>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</si>
  <si>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</si>
  <si>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</si>
  <si>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</si>
  <si>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</si>
  <si>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</si>
  <si>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</si>
  <si>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</si>
  <si>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</si>
  <si>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</si>
  <si>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</si>
  <si>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</si>
  <si>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</si>
  <si>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</si>
  <si>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</si>
  <si>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</si>
  <si>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</si>
  <si>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</si>
  <si>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</si>
  <si>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</si>
  <si>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</si>
  <si>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</si>
  <si>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</si>
  <si>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</si>
  <si>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</si>
  <si>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</si>
  <si>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</si>
  <si>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</si>
  <si>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</si>
  <si>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</si>
  <si>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</si>
  <si>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</si>
  <si>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</si>
  <si>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</si>
  <si>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</si>
  <si>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</si>
  <si>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</si>
  <si>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</si>
  <si>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</si>
  <si>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</si>
  <si>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</si>
  <si>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</si>
  <si>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</si>
  <si>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</si>
  <si>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</si>
  <si>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</si>
  <si>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</si>
  <si>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</si>
  <si>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</si>
  <si>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</si>
  <si>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</si>
  <si>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</si>
  <si>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</si>
  <si>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</si>
  <si>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</si>
  <si>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</si>
  <si>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</si>
  <si>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</si>
  <si>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</si>
  <si>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</si>
  <si>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</si>
  <si>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</si>
  <si>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</si>
  <si>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</si>
  <si>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</si>
  <si>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</si>
  <si>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</si>
  <si>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</si>
  <si>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</si>
  <si>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</si>
  <si>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</si>
  <si>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</si>
  <si>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</si>
  <si>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</si>
  <si>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</si>
  <si>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</si>
  <si>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</si>
  <si>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</si>
  <si>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</si>
  <si>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</si>
  <si>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</si>
  <si>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</si>
  <si>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</si>
  <si>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</si>
  <si>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</si>
  <si>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</si>
  <si>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</si>
  <si>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</si>
  <si>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</si>
  <si>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</si>
  <si>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</si>
  <si>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</si>
  <si>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</si>
  <si>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</si>
  <si>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</si>
  <si>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</si>
  <si>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</si>
  <si>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</si>
  <si>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</si>
  <si>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</si>
  <si>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</si>
  <si>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</si>
  <si>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</si>
  <si>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</si>
  <si>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</si>
  <si>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</si>
  <si>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</si>
  <si>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</si>
  <si>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</si>
  <si>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</si>
  <si>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</si>
  <si>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</si>
  <si>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</si>
  <si>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</si>
  <si>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</si>
  <si>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</si>
  <si>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</si>
  <si>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</si>
  <si>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</si>
  <si>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</si>
  <si>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</si>
  <si>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</si>
  <si>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</si>
  <si>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</si>
  <si>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</si>
  <si>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</si>
  <si>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</si>
  <si>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</si>
  <si>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</si>
  <si>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</si>
  <si>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</si>
  <si>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</si>
  <si>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</si>
  <si>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</si>
  <si>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</si>
  <si>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</si>
  <si>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</si>
  <si>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</si>
  <si>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</si>
  <si>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</si>
  <si>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</si>
  <si>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</si>
  <si>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</si>
  <si>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</si>
  <si>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</si>
  <si>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</si>
  <si>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</si>
  <si>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</si>
  <si>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</si>
  <si>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</si>
  <si>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</si>
  <si>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</si>
  <si>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</si>
  <si>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</si>
  <si>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</si>
  <si>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</si>
  <si>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</si>
  <si>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</si>
  <si>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</si>
  <si>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</si>
  <si>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</si>
  <si>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</si>
  <si>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</si>
  <si>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</si>
  <si>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</si>
  <si>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</si>
  <si>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</si>
  <si>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</si>
  <si>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</si>
  <si>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</si>
  <si>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</si>
  <si>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</si>
  <si>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</si>
  <si>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</si>
  <si>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</si>
  <si>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</si>
  <si>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</si>
  <si>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</si>
  <si>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</si>
  <si>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</si>
  <si>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</si>
  <si>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</si>
  <si>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</si>
  <si>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</si>
  <si>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</si>
  <si>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</si>
  <si>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</si>
  <si>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</si>
  <si>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</si>
  <si>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</si>
  <si>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</si>
  <si>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</si>
  <si>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</si>
  <si>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</si>
  <si>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</si>
  <si>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</si>
  <si>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</si>
  <si>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</si>
  <si>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</si>
  <si>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</si>
  <si>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</si>
  <si>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</si>
  <si>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</si>
  <si>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</si>
  <si>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</si>
  <si>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</si>
  <si>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</si>
  <si>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</si>
  <si>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</si>
  <si>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</si>
  <si>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</si>
  <si>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</si>
  <si>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</si>
  <si>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</si>
  <si>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</si>
  <si>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</si>
  <si>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</si>
  <si>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</si>
  <si>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</si>
  <si>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</si>
  <si>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</si>
  <si>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</si>
  <si>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</si>
  <si>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</si>
  <si>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</si>
  <si>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</si>
  <si>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</si>
  <si>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</si>
  <si>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</si>
  <si>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</si>
  <si>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</si>
  <si>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</si>
  <si>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</si>
  <si>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</si>
  <si>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</si>
  <si>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</si>
  <si>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</si>
  <si>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</si>
  <si>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</si>
  <si>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</si>
  <si>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</si>
  <si>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</si>
  <si>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</si>
  <si>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</si>
  <si>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</si>
  <si>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</si>
  <si>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</si>
  <si>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</si>
  <si>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</si>
  <si>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</si>
  <si>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</si>
  <si>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</si>
  <si>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</si>
  <si>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</si>
  <si>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</si>
  <si>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</si>
  <si>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</si>
  <si>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</si>
  <si>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</si>
  <si>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</si>
  <si>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</si>
  <si>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</si>
  <si>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</si>
  <si>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</si>
  <si>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</si>
  <si>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</si>
  <si>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</si>
  <si>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</si>
  <si>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</si>
  <si>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</si>
  <si>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</si>
  <si>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</si>
  <si>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</si>
  <si>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</si>
  <si>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</si>
  <si>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</si>
  <si>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</si>
  <si>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</si>
  <si>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</si>
  <si>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</si>
  <si>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</si>
  <si>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</si>
  <si>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</si>
  <si>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</si>
  <si>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</si>
  <si>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</si>
  <si>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</si>
  <si>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</si>
  <si>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</si>
  <si>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</si>
  <si>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</si>
  <si>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</si>
  <si>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</si>
  <si>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</si>
  <si>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</si>
  <si>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</si>
  <si>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</si>
  <si>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</si>
  <si>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</si>
  <si>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</si>
  <si>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</si>
  <si>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</si>
  <si>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</si>
  <si>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</si>
  <si>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</si>
  <si>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</si>
  <si>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</si>
  <si>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</si>
  <si>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</si>
  <si>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</si>
  <si>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</si>
  <si>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</si>
  <si>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</si>
  <si>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</si>
  <si>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</si>
  <si>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</si>
  <si>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</si>
  <si>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</si>
  <si>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</si>
  <si>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</si>
  <si>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</si>
  <si>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</si>
  <si>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</si>
  <si>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</si>
  <si>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</si>
  <si>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</si>
  <si>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</si>
  <si>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</si>
  <si>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</si>
  <si>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</si>
  <si>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</si>
  <si>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</si>
  <si>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</si>
  <si>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</si>
  <si>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</si>
  <si>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</si>
  <si>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</si>
  <si>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</si>
  <si>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</si>
  <si>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</si>
  <si>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</si>
  <si>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</si>
  <si>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</si>
  <si>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</si>
  <si>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</si>
  <si>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</si>
  <si>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</si>
  <si>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</si>
  <si>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</si>
  <si>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</si>
  <si>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</si>
  <si>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</si>
  <si>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</si>
  <si>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</si>
  <si>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</si>
  <si>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</si>
  <si>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</si>
  <si>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</si>
  <si>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</si>
  <si>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</si>
  <si>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</si>
  <si>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</si>
  <si>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</si>
  <si>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</si>
  <si>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</si>
  <si>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</si>
  <si>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</si>
  <si>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</si>
  <si>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</si>
  <si>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</si>
  <si>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</si>
  <si>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</si>
  <si>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</si>
  <si>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</si>
  <si>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</si>
  <si>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</si>
  <si>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</si>
  <si>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</si>
  <si>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</si>
  <si>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</si>
  <si>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</si>
  <si>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</si>
  <si>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</si>
  <si>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</si>
  <si>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</si>
  <si>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</si>
  <si>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</si>
  <si>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</si>
  <si>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</si>
  <si>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</si>
  <si>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</si>
  <si>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</si>
  <si>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</si>
  <si>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</si>
  <si>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</si>
  <si>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</si>
  <si>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</si>
  <si>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</si>
  <si>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</si>
  <si>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</si>
  <si>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</si>
  <si>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</si>
  <si>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</si>
  <si>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</si>
  <si>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</si>
  <si>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</si>
  <si>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</si>
  <si>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</si>
  <si>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</si>
  <si>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</si>
  <si>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</si>
  <si>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</si>
  <si>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</si>
  <si>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</si>
  <si>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</si>
  <si>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</si>
  <si>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</si>
  <si>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</si>
  <si>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</si>
  <si>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</si>
  <si>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</si>
  <si>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</si>
  <si>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</si>
  <si>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</si>
  <si>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</si>
  <si>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</si>
  <si>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</si>
  <si>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</si>
  <si>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</si>
  <si>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</si>
  <si>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</si>
  <si>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</si>
  <si>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</si>
  <si>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</si>
  <si>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</si>
  <si>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</si>
  <si>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</si>
  <si>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</si>
  <si>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</si>
  <si>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</si>
  <si>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</si>
  <si>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</si>
  <si>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</si>
  <si>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</si>
  <si>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</si>
  <si>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</si>
  <si>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</si>
  <si>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</si>
  <si>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</si>
  <si>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</si>
  <si>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</si>
  <si>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</si>
  <si>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</si>
  <si>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</si>
  <si>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</si>
  <si>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</si>
  <si>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</si>
  <si>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</si>
  <si>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</si>
  <si>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</si>
  <si>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</si>
  <si>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</si>
  <si>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</si>
  <si>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</si>
  <si>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</si>
  <si>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</si>
  <si>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</si>
  <si>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</si>
  <si>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</si>
  <si>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</si>
  <si>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</si>
  <si>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</si>
  <si>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</si>
  <si>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</si>
  <si>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</si>
  <si>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</si>
  <si>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</si>
  <si>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</si>
  <si>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</si>
  <si>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</si>
  <si>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</si>
  <si>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</si>
  <si>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</si>
  <si>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</si>
  <si>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</si>
  <si>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</si>
  <si>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</si>
  <si>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</si>
  <si>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</si>
  <si>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</si>
  <si>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</si>
  <si>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</si>
  <si>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</si>
  <si>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</si>
  <si>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</si>
  <si>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</si>
  <si>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</si>
  <si>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</si>
  <si>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</si>
  <si>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</si>
  <si>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</si>
  <si>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</si>
  <si>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</si>
  <si>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</si>
  <si>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</si>
  <si>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</si>
  <si>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</si>
  <si>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</si>
  <si>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</si>
  <si>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</si>
  <si>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</si>
  <si>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</si>
  <si>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</si>
  <si>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</si>
  <si>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</si>
  <si>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</si>
  <si>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</si>
  <si>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</si>
  <si>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</si>
  <si>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</si>
  <si>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</si>
  <si>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</si>
  <si>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</si>
  <si>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</si>
  <si>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</si>
  <si>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</si>
  <si>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</si>
  <si>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</si>
  <si>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</si>
  <si>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</si>
  <si>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</si>
  <si>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</si>
  <si>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</si>
  <si>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</si>
  <si>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</si>
  <si>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</si>
  <si>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</si>
  <si>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</si>
  <si>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</si>
  <si>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</si>
  <si>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</si>
  <si>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</si>
  <si>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</si>
  <si>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</si>
  <si>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</si>
  <si>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</si>
  <si>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</si>
  <si>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</si>
  <si>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</si>
  <si>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</si>
  <si>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</si>
  <si>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</si>
  <si>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</si>
  <si>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</si>
  <si>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</si>
  <si>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</si>
  <si>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</si>
  <si>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</si>
  <si>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</si>
  <si>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</si>
  <si>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</si>
  <si>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</si>
  <si>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</si>
  <si>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</si>
  <si>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</si>
  <si>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</si>
  <si>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</si>
  <si>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</si>
  <si>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</si>
  <si>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</si>
  <si>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</si>
  <si>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</si>
  <si>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</si>
  <si>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</si>
  <si>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</si>
  <si>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</si>
  <si>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</si>
  <si>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</si>
  <si>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</si>
  <si>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</si>
  <si>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</si>
  <si>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</si>
  <si>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</si>
  <si>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</si>
  <si>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</si>
  <si>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</si>
  <si>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</si>
  <si>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</si>
  <si>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</si>
  <si>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</si>
  <si>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</si>
  <si>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</si>
  <si>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</si>
  <si>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</si>
  <si>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</si>
  <si>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</si>
  <si>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</si>
  <si>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</si>
  <si>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</si>
  <si>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</si>
  <si>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</si>
  <si>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</si>
  <si>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</si>
  <si>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</si>
  <si>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</si>
  <si>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</si>
  <si>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</si>
  <si>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</si>
  <si>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</si>
  <si>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</si>
  <si>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</si>
  <si>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</si>
  <si>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</si>
  <si>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</si>
  <si>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</si>
  <si>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</si>
  <si>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</si>
  <si>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</si>
  <si>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</si>
  <si>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</si>
  <si>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</si>
  <si>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</si>
  <si>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</si>
  <si>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</si>
  <si>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</si>
  <si>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</si>
  <si>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</si>
  <si>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</si>
  <si>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</si>
  <si>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</si>
  <si>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</si>
  <si>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</si>
  <si>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</si>
  <si>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</si>
  <si>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</si>
  <si>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</si>
  <si>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</si>
  <si>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</si>
  <si>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</si>
  <si>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</si>
  <si>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</si>
  <si>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</si>
  <si>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</si>
  <si>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</si>
  <si>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</si>
  <si>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</si>
  <si>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</si>
  <si>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</si>
  <si>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</si>
  <si>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</si>
  <si>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</si>
  <si>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</si>
  <si>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</si>
  <si>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</si>
  <si>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</si>
  <si>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</si>
  <si>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</si>
  <si>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</si>
  <si>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</si>
  <si>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</si>
  <si>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</si>
  <si>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</si>
  <si>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</si>
  <si>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</si>
  <si>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</si>
  <si>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</si>
  <si>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</si>
  <si>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</si>
  <si>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</si>
  <si>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</si>
  <si>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</si>
  <si>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</si>
  <si>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</si>
  <si>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</si>
  <si>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</si>
  <si>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</si>
  <si>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</si>
  <si>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</si>
  <si>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</si>
  <si>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</si>
  <si>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</si>
  <si>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</si>
  <si>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</si>
  <si>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</si>
  <si>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</si>
  <si>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</si>
  <si>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</si>
  <si>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</si>
  <si>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</si>
  <si>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</si>
  <si>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</si>
  <si>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</si>
  <si>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</si>
  <si>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</si>
  <si>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</si>
  <si>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</si>
  <si>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</si>
  <si>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</si>
  <si>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</si>
  <si>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</si>
  <si>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</si>
  <si>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</si>
  <si>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</si>
  <si>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</si>
  <si>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</si>
  <si>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</si>
  <si>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</si>
  <si>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</si>
  <si>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</si>
  <si>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</si>
  <si>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</si>
  <si>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</si>
  <si>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</si>
  <si>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</si>
  <si>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</si>
  <si>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</si>
  <si>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</si>
  <si>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</si>
  <si>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</si>
  <si>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</si>
  <si>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</si>
  <si>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</si>
  <si>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</si>
  <si>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</si>
  <si>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</si>
  <si>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</si>
  <si>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</si>
  <si>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</si>
  <si>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</si>
  <si>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</si>
  <si>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</si>
  <si>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</si>
  <si>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</si>
  <si>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</si>
  <si>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</si>
  <si>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</si>
  <si>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</si>
  <si>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</si>
  <si>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</si>
  <si>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</si>
  <si>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</si>
  <si>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</si>
  <si>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</si>
  <si>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</si>
  <si>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</si>
  <si>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</si>
  <si>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</si>
  <si>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</si>
  <si>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</si>
  <si>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</si>
  <si>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</si>
  <si>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</si>
  <si>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</si>
  <si>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</si>
  <si>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</si>
  <si>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</si>
  <si>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</si>
  <si>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</si>
  <si>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</si>
  <si>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</si>
  <si>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</si>
  <si>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</si>
  <si>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</si>
  <si>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</si>
  <si>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</si>
  <si>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</si>
  <si>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</si>
  <si>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</si>
  <si>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</si>
  <si>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</si>
  <si>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</si>
  <si>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</si>
  <si>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</si>
  <si>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</si>
  <si>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</si>
  <si>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</si>
  <si>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</si>
  <si>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</si>
  <si>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</si>
  <si>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</si>
  <si>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</si>
  <si>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</si>
  <si>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</si>
  <si>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</si>
  <si>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</si>
  <si>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</si>
  <si>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</si>
  <si>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</si>
  <si>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</si>
  <si>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</si>
  <si>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</si>
  <si>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</si>
  <si>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</si>
  <si>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</si>
  <si>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</si>
  <si>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</si>
  <si>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</si>
  <si>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</si>
  <si>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</si>
  <si>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</si>
  <si>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</si>
  <si>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</si>
  <si>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</si>
  <si>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</si>
  <si>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</si>
  <si>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</si>
  <si>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</si>
  <si>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</si>
  <si>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</si>
  <si>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</si>
  <si>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</si>
  <si>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</si>
  <si>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</si>
  <si>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</si>
  <si>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</si>
  <si>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</si>
  <si>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</si>
  <si>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</si>
  <si>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</si>
  <si>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</si>
  <si>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</si>
  <si>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</si>
  <si>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</si>
  <si>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</si>
  <si>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</si>
  <si>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</si>
  <si>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</si>
  <si>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</si>
  <si>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</si>
  <si>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</si>
  <si>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</si>
  <si>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</si>
  <si>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</si>
  <si>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</si>
  <si>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</si>
  <si>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</si>
  <si>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</si>
  <si>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</si>
  <si>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</si>
  <si>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</si>
  <si>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</si>
  <si>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</si>
  <si>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</si>
  <si>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</si>
  <si>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</si>
  <si>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</si>
  <si>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</si>
  <si>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</si>
  <si>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</si>
  <si>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</si>
  <si>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</si>
  <si>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</si>
  <si>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</si>
  <si>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</si>
  <si>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</si>
  <si>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</si>
  <si>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</si>
  <si>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</si>
  <si>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</si>
  <si>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</si>
  <si>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</si>
  <si>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</si>
  <si>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</si>
  <si>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</si>
  <si>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</si>
  <si>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</si>
  <si>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</si>
  <si>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</si>
  <si>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</si>
  <si>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</si>
  <si>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</si>
  <si>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</si>
  <si>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</si>
  <si>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</si>
  <si>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</si>
  <si>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</si>
  <si>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</si>
  <si>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</si>
  <si>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</si>
  <si>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</si>
  <si>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</si>
  <si>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</si>
  <si>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</si>
  <si>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</si>
  <si>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</si>
  <si>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</si>
  <si>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</si>
  <si>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</si>
  <si>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</si>
  <si>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</si>
  <si>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</si>
  <si>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</si>
  <si>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</si>
  <si>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</si>
  <si>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</si>
  <si>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</si>
  <si>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</si>
  <si>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</si>
  <si>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</si>
  <si>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</si>
  <si>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</si>
  <si>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</si>
  <si>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</si>
  <si>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</si>
  <si>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</si>
  <si>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</si>
  <si>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</si>
  <si>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</si>
  <si>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</si>
  <si>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</si>
  <si>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</si>
  <si>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</si>
  <si>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</si>
  <si>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</si>
  <si>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</si>
  <si>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</si>
  <si>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</si>
  <si>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</si>
  <si>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</si>
  <si>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</si>
  <si>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</si>
  <si>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</si>
  <si>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</si>
  <si>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</si>
  <si>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</si>
  <si>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</si>
  <si>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</si>
  <si>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</si>
  <si>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</si>
  <si>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</si>
  <si>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</si>
  <si>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</si>
  <si>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</si>
  <si>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</si>
  <si>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</si>
  <si>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</si>
  <si>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</si>
  <si>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</si>
  <si>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</si>
  <si>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</si>
  <si>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</si>
  <si>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</si>
  <si>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</si>
  <si>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</si>
  <si>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</si>
  <si>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</si>
  <si>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</si>
  <si>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</si>
  <si>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</si>
  <si>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</si>
  <si>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</si>
  <si>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</si>
  <si>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</si>
  <si>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</si>
  <si>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</si>
  <si>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</si>
  <si>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</si>
  <si>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</si>
  <si>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</si>
  <si>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</si>
  <si>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</si>
  <si>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</si>
  <si>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</si>
  <si>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</si>
  <si>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</si>
  <si>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</si>
  <si>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</si>
  <si>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</si>
  <si>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</si>
  <si>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</si>
  <si>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</si>
  <si>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</si>
  <si>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</si>
  <si>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</si>
  <si>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</si>
  <si>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</si>
  <si>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</si>
  <si>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</si>
  <si>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</si>
  <si>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</si>
  <si>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</si>
  <si>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</si>
  <si>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</si>
  <si>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</si>
  <si>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</si>
  <si>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</si>
  <si>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</si>
  <si>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</si>
  <si>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</si>
  <si>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</si>
  <si>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</si>
  <si>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</si>
  <si>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</si>
  <si>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</si>
  <si>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</si>
  <si>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</si>
  <si>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</si>
  <si>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</si>
  <si>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</si>
  <si>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</si>
  <si>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</si>
  <si>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</si>
  <si>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</si>
  <si>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</si>
  <si>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</si>
  <si>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</si>
  <si>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</si>
  <si>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</si>
  <si>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</si>
  <si>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</si>
  <si>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</si>
  <si>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</si>
  <si>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</si>
  <si>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</si>
  <si>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</si>
  <si>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</si>
  <si>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</si>
  <si>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</si>
  <si>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</si>
  <si>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</si>
  <si>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</si>
  <si>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</si>
  <si>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</si>
  <si>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</si>
  <si>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</si>
  <si>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</si>
  <si>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</si>
  <si>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</si>
  <si>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</si>
  <si>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</si>
  <si>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</si>
  <si>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</si>
  <si>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</si>
  <si>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</si>
  <si>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</si>
  <si>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</si>
  <si>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</si>
  <si>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</si>
  <si>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</si>
  <si>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</si>
  <si>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</si>
  <si>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</si>
  <si>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</si>
  <si>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</si>
  <si>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</si>
  <si>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</si>
  <si>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</si>
  <si>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</si>
  <si>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</si>
  <si>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</si>
  <si>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</si>
  <si>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</si>
  <si>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</si>
  <si>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</si>
  <si>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</si>
  <si>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</si>
  <si>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</si>
  <si>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</si>
  <si>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</si>
  <si>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</si>
  <si>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</si>
  <si>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</si>
  <si>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</si>
  <si>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</si>
  <si>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</si>
  <si>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</si>
  <si>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</si>
  <si>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</si>
  <si>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</si>
  <si>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</si>
  <si>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</si>
  <si>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</si>
  <si>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</si>
  <si>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</si>
  <si>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</si>
  <si>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</si>
  <si>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</si>
  <si>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</si>
  <si>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</si>
  <si>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</si>
  <si>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</si>
  <si>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</si>
  <si>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</si>
  <si>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</si>
  <si>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</si>
  <si>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</si>
  <si>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</si>
  <si>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</si>
  <si>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</si>
  <si>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</si>
  <si>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</si>
  <si>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</si>
  <si>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</si>
  <si>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</si>
  <si>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</si>
  <si>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</si>
  <si>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</si>
  <si>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</si>
  <si>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</si>
  <si>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</si>
  <si>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</si>
  <si>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</si>
  <si>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</si>
  <si>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</si>
  <si>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</si>
  <si>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</si>
  <si>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</si>
  <si>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</si>
  <si>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</si>
  <si>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</si>
  <si>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</si>
  <si>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</si>
  <si>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</si>
  <si>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</si>
  <si>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</si>
  <si>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</si>
  <si>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</si>
  <si>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</si>
  <si>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</si>
  <si>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</si>
  <si>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</si>
  <si>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</si>
  <si>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</si>
  <si>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</si>
  <si>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</si>
  <si>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</si>
  <si>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</si>
  <si>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</si>
  <si>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</si>
  <si>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</si>
  <si>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</si>
  <si>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</si>
  <si>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</si>
  <si>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</si>
  <si>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</si>
  <si>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</si>
  <si>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</si>
  <si>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</si>
  <si>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</si>
  <si>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</si>
  <si>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</si>
  <si>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</si>
  <si>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</si>
  <si>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</si>
  <si>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</si>
  <si>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</si>
  <si>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</si>
  <si>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</si>
  <si>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</si>
  <si>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</si>
  <si>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</si>
  <si>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</si>
  <si>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</si>
  <si>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</si>
  <si>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</si>
  <si>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</si>
  <si>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</si>
  <si>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</si>
  <si>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</si>
  <si>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</si>
  <si>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</si>
  <si>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</si>
  <si>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</si>
  <si>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</si>
  <si>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</si>
  <si>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</si>
  <si>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</si>
  <si>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</si>
  <si>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</si>
  <si>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</si>
  <si>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</si>
  <si>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</si>
  <si>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</si>
  <si>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</si>
  <si>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</si>
  <si>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</si>
  <si>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</si>
  <si>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</si>
  <si>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</si>
  <si>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</si>
  <si>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</si>
  <si>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</si>
  <si>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</si>
  <si>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</si>
  <si>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</si>
  <si>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</si>
  <si>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</si>
  <si>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</si>
  <si>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</si>
  <si>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</si>
  <si>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</si>
  <si>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</si>
  <si>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</si>
  <si>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</si>
  <si>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</si>
  <si>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</si>
  <si>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</si>
  <si>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</si>
  <si>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</si>
  <si>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</si>
  <si>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</si>
  <si>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</si>
  <si>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</si>
  <si>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</si>
  <si>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</si>
  <si>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</si>
  <si>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</si>
  <si>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</si>
  <si>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</si>
  <si>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</si>
  <si>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</si>
  <si>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</si>
  <si>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</si>
  <si>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</si>
  <si>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</si>
  <si>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</si>
  <si>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</si>
  <si>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</si>
  <si>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</si>
  <si>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</si>
  <si>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</si>
  <si>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</si>
  <si>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</si>
  <si>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</si>
  <si>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</si>
  <si>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</si>
  <si>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</si>
  <si>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</si>
  <si>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</si>
  <si>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</si>
  <si>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</si>
  <si>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</si>
  <si>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</si>
  <si>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</si>
  <si>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</si>
  <si>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</si>
  <si>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</si>
  <si>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</si>
  <si>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</si>
  <si>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</si>
  <si>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</si>
  <si>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</si>
  <si>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</si>
  <si>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</si>
  <si>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</si>
  <si>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</si>
  <si>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</si>
  <si>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</si>
  <si>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</si>
  <si>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</si>
  <si>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</si>
  <si>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</si>
  <si>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</si>
  <si>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</si>
  <si>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</si>
  <si>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</si>
  <si>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</si>
  <si>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</si>
  <si>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</si>
  <si>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</si>
  <si>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</si>
  <si>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</si>
  <si>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</si>
  <si>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</si>
  <si>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</si>
  <si>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</si>
  <si>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</si>
  <si>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</si>
  <si>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</si>
  <si>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</si>
  <si>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</si>
  <si>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</si>
  <si>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</si>
  <si>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</si>
  <si>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</si>
  <si>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</si>
  <si>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</si>
  <si>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</si>
  <si>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</si>
  <si>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</si>
  <si>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</si>
  <si>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</si>
  <si>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</si>
  <si>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</si>
  <si>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</si>
  <si>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</si>
  <si>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</si>
  <si>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</si>
  <si>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</si>
  <si>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</si>
  <si>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</si>
  <si>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</si>
  <si>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</si>
  <si>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</si>
  <si>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</si>
  <si>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</si>
  <si>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</si>
  <si>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</si>
  <si>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</si>
  <si>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</si>
  <si>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</si>
  <si>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</si>
  <si>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</si>
  <si>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</si>
  <si>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</si>
  <si>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</si>
  <si>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</si>
  <si>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</si>
  <si>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</si>
  <si>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</si>
  <si>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</si>
  <si>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</si>
  <si>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</si>
  <si>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</si>
  <si>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</si>
  <si>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</si>
  <si>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</si>
  <si>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</si>
  <si>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</si>
  <si>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</si>
  <si>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</si>
  <si>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</si>
  <si>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</si>
  <si>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</si>
  <si>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</si>
  <si>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</si>
  <si>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</si>
  <si>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</si>
  <si>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</si>
  <si>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</si>
  <si>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</si>
  <si>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</si>
  <si>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</si>
  <si>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</si>
  <si>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</si>
  <si>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</si>
  <si>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</si>
  <si>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</si>
  <si>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</si>
  <si>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</si>
  <si>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</si>
  <si>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</si>
  <si>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</si>
  <si>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</si>
  <si>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</si>
  <si>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</si>
  <si>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</si>
  <si>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</si>
  <si>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</si>
  <si>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</si>
  <si>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</si>
  <si>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</si>
  <si>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</si>
  <si>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</si>
  <si>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</si>
  <si>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</si>
  <si>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</si>
  <si>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</si>
  <si>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</si>
  <si>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</si>
  <si>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</si>
  <si>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</si>
  <si>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</si>
  <si>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</si>
  <si>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</si>
  <si>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</si>
  <si>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</si>
  <si>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</si>
  <si>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</si>
  <si>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</si>
  <si>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</si>
  <si>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</si>
  <si>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</si>
  <si>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</si>
  <si>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</si>
  <si>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</si>
  <si>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</si>
  <si>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</si>
  <si>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</si>
  <si>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</si>
  <si>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</si>
  <si>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</si>
  <si>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</si>
  <si>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</si>
  <si>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</si>
  <si>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</si>
  <si>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</si>
  <si>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</si>
  <si>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</si>
  <si>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</si>
  <si>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</si>
  <si>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</si>
  <si>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</si>
  <si>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</si>
  <si>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</si>
  <si>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</si>
  <si>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</si>
  <si>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</si>
  <si>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</si>
  <si>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</si>
  <si>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</si>
  <si>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</si>
  <si>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</si>
  <si>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</si>
  <si>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</si>
  <si>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</si>
  <si>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</si>
  <si>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</si>
  <si>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</si>
  <si>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</si>
  <si>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</si>
  <si>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</si>
  <si>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</si>
  <si>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</si>
  <si>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</si>
  <si>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</si>
  <si>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</si>
  <si>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</si>
  <si>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</si>
  <si>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</si>
  <si>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</si>
  <si>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</si>
  <si>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</si>
  <si>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</si>
  <si>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</si>
  <si>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</si>
  <si>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</si>
  <si>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</si>
  <si>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</si>
  <si>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</si>
  <si>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</si>
  <si>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</si>
  <si>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</si>
  <si>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</si>
  <si>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</si>
  <si>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</si>
  <si>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</si>
  <si>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</si>
  <si>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</si>
  <si>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</si>
  <si>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</si>
  <si>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</si>
  <si>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</si>
  <si>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</si>
  <si>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</si>
  <si>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</si>
  <si>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</si>
  <si>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</si>
  <si>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</si>
  <si>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</si>
  <si>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</si>
  <si>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</si>
  <si>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</si>
  <si>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</si>
  <si>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</si>
  <si>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</si>
  <si>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</si>
  <si>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</si>
  <si>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</si>
  <si>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</si>
  <si>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</si>
  <si>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</si>
  <si>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</si>
  <si>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</si>
  <si>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</si>
  <si>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</si>
  <si>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</si>
  <si>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</si>
  <si>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</si>
  <si>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</si>
  <si>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</si>
  <si>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</si>
  <si>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</si>
  <si>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</si>
  <si>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</si>
  <si>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</si>
  <si>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</si>
  <si>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</si>
  <si>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</si>
  <si>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</si>
  <si>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</si>
  <si>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</si>
  <si>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</si>
  <si>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</si>
  <si>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</si>
  <si>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</si>
  <si>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</si>
  <si>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</si>
  <si>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</si>
  <si>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</si>
  <si>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</si>
  <si>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</si>
  <si>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</si>
  <si>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</si>
  <si>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</si>
  <si>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</si>
  <si>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</si>
  <si>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</si>
  <si>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</si>
  <si>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</si>
  <si>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</si>
  <si>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</si>
  <si>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</si>
  <si>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</si>
  <si>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</si>
  <si>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</si>
  <si>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</si>
  <si>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</si>
  <si>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</si>
  <si>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</si>
  <si>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</si>
  <si>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</si>
  <si>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</si>
  <si>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</si>
  <si>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</si>
  <si>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</si>
  <si>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</si>
  <si>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</si>
  <si>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</si>
  <si>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</si>
  <si>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</si>
  <si>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</si>
  <si>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</si>
  <si>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</si>
  <si>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</si>
  <si>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</si>
  <si>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</si>
  <si>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</si>
  <si>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</si>
  <si>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</si>
  <si>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</si>
  <si>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</si>
  <si>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</si>
  <si>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</si>
  <si>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</si>
  <si>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</si>
  <si>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</si>
  <si>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</si>
  <si>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</si>
  <si>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</si>
  <si>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</si>
  <si>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</si>
  <si>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</si>
  <si>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</si>
  <si>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</si>
  <si>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</si>
  <si>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</si>
  <si>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</si>
  <si>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</si>
  <si>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</si>
  <si>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</si>
  <si>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</si>
  <si>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</si>
  <si>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</si>
  <si>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</si>
  <si>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</si>
  <si>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</si>
  <si>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</si>
  <si>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</si>
  <si>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</si>
  <si>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</si>
  <si>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</si>
  <si>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</si>
  <si>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</si>
  <si>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</si>
  <si>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</si>
  <si>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</si>
  <si>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</si>
  <si>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</si>
  <si>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</si>
  <si>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</si>
  <si>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</si>
  <si>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</si>
  <si>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</si>
  <si>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</si>
  <si>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</si>
  <si>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</si>
  <si>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</si>
  <si>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</si>
  <si>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</si>
  <si>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</si>
  <si>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</si>
  <si>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</si>
  <si>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</si>
  <si>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</si>
  <si>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</si>
  <si>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</si>
  <si>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</si>
  <si>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</si>
  <si>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</si>
  <si>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</si>
  <si>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</si>
  <si>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</si>
  <si>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</si>
  <si>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</si>
  <si>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</si>
  <si>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</si>
  <si>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</si>
  <si>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</si>
  <si>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</si>
  <si>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</si>
  <si>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</si>
  <si>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</si>
  <si>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</si>
  <si>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</si>
  <si>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</si>
  <si>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</si>
  <si>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</si>
  <si>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</si>
  <si>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</si>
  <si>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</si>
  <si>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</si>
  <si>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</si>
  <si>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</si>
  <si>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</si>
  <si>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</si>
  <si>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</si>
  <si>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</si>
  <si>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</si>
  <si>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</si>
  <si>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</si>
  <si>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</si>
  <si>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</si>
  <si>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</si>
  <si>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</si>
  <si>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</si>
  <si>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</si>
  <si>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</si>
  <si>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</si>
  <si>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</si>
  <si>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</si>
  <si>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</si>
  <si>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</si>
  <si>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</si>
  <si>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</si>
  <si>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</si>
  <si>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</si>
  <si>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</si>
  <si>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</si>
  <si>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</si>
  <si>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</si>
  <si>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</si>
  <si>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</si>
  <si>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</si>
  <si>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</si>
  <si>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</si>
  <si>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</si>
  <si>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</si>
  <si>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</si>
  <si>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</si>
  <si>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</si>
  <si>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</si>
  <si>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</si>
  <si>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</si>
  <si>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</si>
  <si>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</si>
  <si>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</si>
  <si>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</si>
  <si>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</si>
  <si>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</si>
  <si>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</si>
  <si>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</si>
  <si>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</si>
  <si>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</si>
  <si>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</si>
  <si>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</si>
  <si>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</si>
  <si>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</si>
  <si>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</si>
  <si>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</si>
  <si>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</si>
  <si>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</si>
  <si>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</si>
  <si>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</si>
  <si>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</si>
  <si>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</si>
  <si>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</si>
  <si>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</si>
  <si>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</si>
  <si>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</si>
  <si>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</si>
  <si>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</si>
  <si>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</si>
  <si>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</si>
  <si>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</si>
  <si>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</si>
  <si>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</si>
  <si>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</si>
  <si>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</si>
  <si>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</si>
  <si>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</si>
  <si>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</si>
  <si>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</si>
  <si>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</si>
  <si>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</si>
  <si>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</si>
  <si>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</si>
  <si>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</si>
  <si>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</si>
  <si>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</si>
  <si>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</si>
  <si>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</si>
  <si>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</si>
  <si>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</si>
  <si>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</si>
  <si>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</si>
  <si>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</si>
  <si>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</si>
  <si>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</si>
  <si>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</si>
  <si>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</si>
  <si>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</si>
  <si>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</si>
  <si>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</si>
  <si>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</si>
  <si>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</si>
  <si>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</si>
  <si>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</si>
  <si>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</si>
  <si>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</si>
  <si>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</si>
  <si>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</si>
  <si>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</si>
  <si>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</si>
  <si>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</si>
  <si>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</si>
  <si>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</si>
  <si>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</si>
  <si>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</si>
  <si>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</si>
  <si>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</si>
  <si>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</si>
  <si>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</si>
  <si>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</si>
  <si>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</si>
  <si>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</si>
  <si>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</si>
  <si>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</si>
  <si>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</si>
  <si>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</si>
  <si>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</si>
  <si>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</si>
  <si>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</si>
  <si>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</si>
  <si>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</si>
  <si>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</si>
  <si>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</si>
  <si>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</si>
  <si>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</si>
  <si>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</si>
  <si>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</si>
  <si>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</si>
  <si>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</si>
  <si>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</si>
  <si>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</si>
  <si>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</si>
  <si>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</si>
  <si>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</si>
  <si>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</si>
  <si>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</si>
  <si>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</si>
  <si>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</si>
  <si>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</si>
  <si>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</si>
  <si>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</si>
  <si>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</si>
  <si>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</si>
  <si>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</si>
  <si>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</si>
  <si>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</si>
  <si>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</si>
  <si>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</si>
  <si>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</si>
  <si>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</si>
  <si>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</si>
  <si>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</si>
  <si>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</si>
  <si>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</si>
  <si>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</si>
  <si>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</si>
  <si>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</si>
  <si>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</si>
  <si>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</si>
  <si>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</si>
  <si>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</si>
  <si>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</si>
  <si>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</si>
  <si>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</si>
  <si>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</si>
  <si>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</si>
  <si>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</si>
  <si>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</si>
  <si>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</si>
  <si>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</si>
  <si>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</si>
  <si>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</si>
  <si>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</si>
  <si>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</si>
  <si>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</si>
  <si>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</si>
  <si>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</si>
  <si>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</si>
  <si>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</si>
  <si>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</si>
  <si>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</si>
  <si>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</si>
  <si>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</si>
  <si>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</si>
  <si>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</si>
  <si>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</si>
  <si>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</si>
  <si>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</si>
  <si>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</si>
  <si>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</si>
  <si>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</si>
  <si>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</si>
  <si>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</si>
  <si>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</si>
  <si>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</si>
  <si>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</si>
  <si>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</si>
  <si>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</si>
  <si>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</si>
  <si>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</si>
  <si>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</si>
  <si>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</si>
  <si>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</si>
  <si>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</si>
  <si>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</si>
  <si>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</si>
  <si>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</si>
  <si>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</si>
  <si>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</si>
  <si>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</si>
  <si>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</si>
  <si>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</si>
  <si>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</si>
  <si>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</si>
  <si>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</si>
  <si>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</si>
  <si>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</si>
  <si>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</si>
  <si>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</si>
  <si>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</si>
  <si>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</si>
  <si>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</si>
  <si>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</si>
  <si>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</si>
  <si>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</si>
  <si>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</si>
  <si>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</si>
  <si>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</si>
  <si>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</si>
  <si>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</si>
  <si>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</si>
  <si>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</si>
  <si>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</si>
  <si>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</si>
  <si>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</si>
  <si>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</si>
  <si>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</si>
  <si>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</si>
  <si>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</si>
  <si>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</si>
  <si>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</si>
  <si>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</si>
  <si>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</si>
  <si>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</si>
  <si>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</si>
  <si>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</si>
  <si>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</si>
  <si>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</si>
  <si>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</si>
  <si>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</si>
  <si>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</si>
  <si>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</si>
  <si>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</si>
  <si>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</si>
  <si>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</si>
  <si>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</si>
  <si>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</si>
  <si>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</si>
  <si>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</si>
  <si>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</si>
  <si>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</si>
  <si>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</si>
  <si>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</si>
  <si>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</si>
  <si>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</si>
  <si>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</si>
  <si>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</si>
  <si>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</si>
  <si>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</si>
  <si>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</si>
  <si>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</si>
  <si>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</si>
  <si>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</si>
  <si>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</si>
  <si>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</si>
  <si>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</si>
  <si>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</si>
  <si>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</si>
  <si>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</si>
  <si>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</si>
  <si>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</si>
  <si>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</si>
  <si>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</si>
  <si>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</si>
  <si>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</si>
  <si>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</si>
  <si>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</si>
  <si>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</si>
  <si>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</si>
  <si>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</si>
  <si>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</si>
  <si>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</si>
  <si>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</si>
  <si>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</si>
  <si>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</si>
  <si>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</si>
  <si>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</si>
  <si>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</si>
  <si>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</si>
  <si>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</si>
  <si>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</si>
  <si>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</si>
  <si>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</si>
  <si>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</si>
  <si>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</si>
  <si>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</si>
  <si>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</si>
  <si>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</si>
  <si>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</si>
  <si>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</si>
  <si>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</si>
  <si>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</si>
  <si>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</si>
  <si>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</si>
  <si>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</si>
  <si>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</si>
  <si>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</si>
  <si>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</si>
  <si>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</si>
  <si>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</si>
  <si>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</si>
  <si>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</si>
  <si>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</si>
  <si>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</si>
  <si>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</si>
  <si>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</si>
  <si>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</si>
  <si>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</si>
  <si>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</si>
  <si>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</si>
  <si>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</si>
  <si>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</si>
  <si>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</si>
  <si>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</si>
  <si>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</si>
  <si>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</si>
  <si>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</si>
  <si>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</si>
  <si>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</si>
  <si>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</si>
  <si>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</si>
  <si>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</si>
  <si>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</si>
  <si>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</si>
  <si>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</si>
  <si>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</si>
  <si>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</si>
  <si>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</si>
  <si>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</si>
  <si>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</si>
  <si>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</si>
  <si>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</si>
  <si>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</si>
  <si>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</si>
  <si>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</si>
  <si>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</si>
  <si>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</si>
  <si>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</si>
  <si>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</si>
  <si>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</si>
  <si>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</si>
  <si>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</si>
  <si>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</si>
  <si>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</si>
  <si>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</si>
  <si>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</si>
  <si>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</si>
  <si>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</si>
  <si>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</si>
  <si>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</si>
  <si>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</si>
  <si>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</si>
  <si>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</si>
  <si>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</si>
  <si>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</si>
  <si>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</si>
  <si>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</si>
  <si>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</si>
  <si>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</si>
  <si>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</si>
  <si>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</si>
  <si>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</si>
  <si>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</si>
  <si>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</si>
  <si>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</si>
  <si>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</si>
  <si>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</si>
  <si>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</si>
  <si>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</si>
  <si>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</si>
  <si>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</si>
  <si>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</si>
  <si>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</si>
  <si>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</si>
  <si>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</si>
  <si>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</si>
  <si>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</si>
  <si>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</si>
  <si>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</si>
  <si>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</si>
  <si>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</si>
  <si>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</si>
  <si>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</si>
  <si>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</si>
  <si>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</si>
  <si>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</si>
  <si>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</si>
  <si>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</si>
  <si>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</si>
  <si>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</si>
  <si>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</si>
  <si>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</si>
  <si>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</si>
  <si>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</si>
  <si>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</si>
  <si>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</si>
  <si>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</si>
  <si>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</si>
  <si>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</si>
  <si>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</si>
  <si>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</si>
  <si>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</si>
  <si>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</si>
  <si>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</si>
  <si>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</si>
  <si>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</si>
  <si>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</si>
  <si>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</si>
  <si>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</si>
  <si>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</si>
  <si>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</si>
  <si>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</si>
  <si>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</si>
  <si>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</si>
  <si>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</si>
  <si>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</si>
  <si>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</si>
  <si>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</si>
  <si>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</si>
  <si>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</si>
  <si>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</si>
  <si>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</si>
  <si>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</si>
  <si>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</si>
  <si>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</si>
  <si>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</si>
  <si>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</si>
  <si>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</si>
  <si>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</si>
  <si>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</si>
  <si>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</si>
  <si>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</si>
  <si>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</si>
  <si>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</si>
  <si>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</si>
  <si>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</si>
  <si>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</si>
  <si>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</si>
  <si>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</si>
  <si>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</si>
  <si>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</si>
  <si>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</si>
  <si>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</si>
  <si>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</si>
  <si>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</si>
  <si>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</si>
  <si>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</si>
  <si>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</si>
  <si>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</si>
  <si>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</si>
  <si>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</si>
  <si>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</si>
  <si>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</si>
  <si>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</si>
  <si>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</si>
  <si>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</si>
  <si>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</si>
  <si>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</si>
  <si>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</si>
  <si>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</si>
  <si>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</si>
  <si>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</si>
  <si>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</si>
  <si>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</si>
  <si>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</si>
  <si>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</si>
  <si>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</si>
  <si>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</si>
  <si>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</si>
  <si>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</si>
  <si>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</si>
  <si>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</si>
  <si>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</si>
  <si>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</si>
  <si>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</si>
  <si>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</si>
  <si>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</si>
  <si>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</si>
  <si>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</si>
  <si>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</si>
  <si>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</si>
  <si>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</si>
  <si>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</si>
  <si>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</si>
  <si>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</si>
  <si>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</si>
  <si>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</si>
  <si>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</si>
  <si>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</si>
  <si>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</si>
  <si>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</si>
  <si>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</si>
  <si>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</si>
  <si>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</si>
  <si>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</si>
  <si>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</si>
  <si>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</si>
  <si>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</si>
  <si>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</si>
  <si>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</si>
  <si>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</si>
  <si>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</si>
  <si>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</si>
  <si>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</si>
  <si>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</si>
  <si>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</si>
  <si>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</si>
  <si>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</si>
  <si>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</si>
  <si>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</si>
  <si>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</si>
  <si>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</si>
  <si>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</si>
  <si>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</si>
  <si>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</si>
  <si>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</si>
  <si>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</si>
  <si>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</si>
  <si>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</si>
  <si>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</si>
  <si>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</si>
  <si>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</si>
  <si>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</si>
  <si>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</si>
  <si>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</si>
  <si>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</si>
  <si>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</si>
  <si>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</si>
  <si>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</si>
  <si>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</si>
  <si>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</si>
  <si>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</si>
  <si>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</si>
  <si>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</si>
  <si>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</si>
  <si>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</si>
  <si>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</si>
  <si>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</si>
  <si>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</si>
  <si>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</si>
  <si>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</si>
  <si>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</si>
  <si>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</si>
  <si>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</si>
  <si>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</si>
  <si>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</si>
  <si>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</si>
  <si>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</si>
  <si>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</si>
  <si>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</si>
  <si>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</si>
  <si>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</si>
  <si>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</si>
  <si>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</si>
  <si>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</si>
  <si>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</si>
  <si>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</si>
  <si>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</si>
  <si>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</si>
  <si>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</si>
  <si>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</si>
  <si>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</si>
  <si>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</si>
  <si>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</si>
  <si>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</si>
  <si>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</si>
  <si>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</si>
  <si>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</si>
  <si>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</si>
  <si>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</si>
  <si>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</si>
  <si>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</si>
  <si>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</si>
  <si>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</si>
  <si>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</si>
  <si>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</si>
  <si>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</si>
  <si>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</si>
  <si>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</si>
  <si>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</si>
  <si>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</si>
  <si>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</si>
  <si>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</si>
  <si>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</si>
  <si>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</si>
  <si>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</si>
  <si>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</si>
  <si>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</si>
  <si>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</si>
  <si>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</si>
  <si>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</si>
  <si>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Plating</t>
  </si>
  <si>
    <t>Solder</t>
  </si>
  <si>
    <t>100%</t>
  </si>
  <si>
    <t>JQL Technologies Corporation</t>
  </si>
  <si>
    <t>06-644-3707</t>
  </si>
  <si>
    <t>DUNS</t>
  </si>
  <si>
    <t>Bradley Flaminio</t>
  </si>
  <si>
    <t>qa@jqltechnologies.com</t>
  </si>
  <si>
    <t>630.246.7833 x244</t>
  </si>
  <si>
    <t>Quality Assurance Engineer</t>
  </si>
  <si>
    <t>https://www.jqlelectronics.com/about/#serviceAndQuality</t>
  </si>
  <si>
    <t>Bradley Flaminio 1255 Armour Blvd, Mundelein, IL 60060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</si>
</sst>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indexed="56"/>
      </top>
      <bottom style="thin">
        <color rgb="FF003366"/>
      </bottom>
      <diagonal/>
    </border>
    <border>
      <left/>
      <right/>
      <top style="thin">
        <color indexed="56"/>
      </top>
      <bottom style="thin">
        <color rgb="FF00336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 fillId="33" borderId="58" xfId="487" applyNumberFormat="1" applyFill="1" applyBorder="1">
      <protection locked="0"/>
    </xf>
    <xf numFmtId="49" fontId="8" fillId="33" borderId="10" xfId="487" applyNumberFormat="1" applyFill="1" applyBorder="1">
      <protection locked="0"/>
    </xf>
    <xf numFmtId="49" fontId="8" fillId="33" borderId="37" xfId="487" applyNumberFormat="1" applyFill="1" applyBorder="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8" fillId="37" borderId="58" xfId="487" applyFill="1" applyBorder="1">
      <protection locked="0"/>
    </xf>
    <xf numFmtId="0" fontId="8" fillId="37" borderId="10" xfId="487" applyFill="1" applyBorder="1">
      <protection locked="0"/>
    </xf>
    <xf numFmtId="0" fontId="15" fillId="37" borderId="68" xfId="0" applyFont="1" applyFill="1" applyBorder="1" applyAlignment="1" applyProtection="1">
      <alignment horizontal="left" vertical="center" wrapText="1"/>
      <protection locked="0"/>
    </xf>
    <xf numFmtId="0" fontId="15" fillId="37" borderId="69" xfId="0"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83" fillId="33" borderId="58" xfId="487"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mailto:qa@jqltechnologies.com" TargetMode="External"/><Relationship Id="rId7" Type="http://schemas.openxmlformats.org/officeDocument/2006/relationships/hyperlink" Target="mailto:qa@jqltechnologies.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jqlelectronics.com/about/" TargetMode="External"/><Relationship Id="rId11" Type="http://schemas.openxmlformats.org/officeDocument/2006/relationships/comments" Target="../comments1.xml"/><Relationship Id="rId5" Type="http://schemas.openxmlformats.org/officeDocument/2006/relationships/hyperlink" Target="mailto:christina@jqltechnologies.com" TargetMode="External"/><Relationship Id="rId10" Type="http://schemas.openxmlformats.org/officeDocument/2006/relationships/vmlDrawing" Target="../drawings/vmlDrawing1.vml"/><Relationship Id="rId4" Type="http://schemas.openxmlformats.org/officeDocument/2006/relationships/hyperlink" Target="mailto:qa@jqltechnologies.com"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2BBC93A-DF1C-419C-8E27-0BA4210C395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0BB4F4A-079A-43C0-8EB8-BF8705177FC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B17" sqref="B1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2"/>
      <c r="G3" s="372"/>
      <c r="H3" s="372"/>
      <c r="I3" s="152"/>
      <c r="J3" s="138" t="s">
        <v>15760</v>
      </c>
      <c r="K3" s="36"/>
      <c r="L3" s="100"/>
      <c r="P3" s="45">
        <f>MATCH($D$3,LN,0)</f>
        <v>1</v>
      </c>
    </row>
    <row r="4" spans="1:34" ht="15.75">
      <c r="A4" s="34"/>
      <c r="B4" s="368" t="str">
        <f ca="1">OFFSET(L!$C$1,MATCH("Declaration"&amp;ADDRESS(ROW(),COLUMN(),4),L!$A:$A,0)-1,SL,,)</f>
        <v>The purpose of this document is to collect sourcing information on tin, tantalum, tungsten and gold used in products</v>
      </c>
      <c r="C4" s="368"/>
      <c r="D4" s="368"/>
      <c r="E4" s="368"/>
      <c r="F4" s="368"/>
      <c r="G4" s="368"/>
      <c r="H4" s="368"/>
      <c r="I4" s="373" t="str">
        <f ca="1">OFFSET(L!$C$1,MATCH("Declaration"&amp;ADDRESS(ROW(),COLUMN(),4),L!$A:$A,0)-1,SL,,)</f>
        <v>Link to Terms &amp; Conditions</v>
      </c>
      <c r="J4" s="37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7" t="str">
        <f ca="1">OFFSET(L!$C$1,MATCH("Declaration"&amp;ADDRESS(ROW(),COLUMN(),4),L!$A:$A,0)-1,SL,,)</f>
        <v>Company Information</v>
      </c>
      <c r="C7" s="377"/>
      <c r="D7" s="377"/>
      <c r="E7" s="377"/>
      <c r="F7" s="377"/>
      <c r="G7" s="377"/>
      <c r="H7" s="377"/>
      <c r="I7" s="377"/>
      <c r="J7" s="37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15858</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4" t="s">
        <v>490</v>
      </c>
      <c r="E9" s="375"/>
      <c r="F9" s="375"/>
      <c r="G9" s="376"/>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8" t="str">
        <f ca="1">OFFSET(L!$C$1,MATCH("Declaration"&amp;ADDRESS(ROW(),COLUMN(),4)&amp;LEFT($D$9,1),L!$A:$A,0)-1,SL,,)</f>
        <v>Description of Scope:</v>
      </c>
      <c r="C10" s="122"/>
      <c r="D10" s="369"/>
      <c r="E10" s="370"/>
      <c r="F10" s="370"/>
      <c r="G10" s="370"/>
      <c r="H10" s="370"/>
      <c r="I10" s="370"/>
      <c r="J10" s="371"/>
      <c r="K10" s="36"/>
      <c r="L10" s="115"/>
      <c r="Q10" s="3"/>
      <c r="R10" s="3"/>
      <c r="S10" s="3"/>
      <c r="T10" s="3"/>
      <c r="U10" s="3"/>
      <c r="V10" s="3"/>
      <c r="W10" s="3"/>
      <c r="X10" s="3"/>
      <c r="Y10" s="3"/>
      <c r="Z10" s="3"/>
      <c r="AA10" s="3"/>
      <c r="AB10" s="3"/>
      <c r="AC10" s="3"/>
      <c r="AD10" s="3"/>
      <c r="AE10" s="3"/>
      <c r="AF10" s="3"/>
      <c r="AG10" s="3"/>
      <c r="AH10" s="3"/>
    </row>
    <row r="11" spans="1:34" ht="15.75">
      <c r="A11" s="38"/>
      <c r="B11" s="379"/>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15860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15866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80" t="s">
        <v>15862</v>
      </c>
      <c r="E15" s="381"/>
      <c r="F15" s="381"/>
      <c r="G15" s="381"/>
      <c r="H15" s="381"/>
      <c r="I15" s="381"/>
      <c r="J15" s="38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277" t="s">
        <v>15863</v>
      </c>
      <c r="E17" s="277"/>
      <c r="F17" s="277"/>
      <c r="G17" s="277"/>
      <c r="H17" s="277"/>
      <c r="I17" s="277"/>
      <c r="J17" s="27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3" t="s">
        <v>15862</v>
      </c>
      <c r="E20" s="384"/>
      <c r="F20" s="384"/>
      <c r="G20" s="384"/>
      <c r="H20" s="384"/>
      <c r="I20" s="384"/>
      <c r="J20" s="384"/>
      <c r="K20" s="36"/>
      <c r="L20" s="110"/>
      <c r="P20" s="3"/>
      <c r="Q20" s="3"/>
      <c r="R20" s="3"/>
      <c r="S20" s="3"/>
      <c r="T20" s="3"/>
      <c r="U20" s="3"/>
      <c r="V20" s="3"/>
      <c r="W20" s="3"/>
      <c r="X20" s="3"/>
      <c r="Y20" s="3"/>
      <c r="Z20" s="3"/>
      <c r="AA20" s="3"/>
      <c r="AB20" s="3"/>
      <c r="AC20" s="3"/>
      <c r="AD20" s="3"/>
      <c r="AE20" s="3"/>
      <c r="AF20" s="3"/>
      <c r="AG20" s="3"/>
      <c r="AH20" s="3"/>
    </row>
    <row r="21" spans="1:34" ht="15.75" customHeight="1">
      <c r="A21" s="38"/>
      <c r="B21" s="40" t="str">
        <f ca="1">OFFSET(L!$C$1,MATCH("Declaration"&amp;ADDRESS(ROW(),COLUMN(),4),L!$A:$A,0)-1,SL,,)</f>
        <v>Phone - Authorizer:</v>
      </c>
      <c r="C21" s="133"/>
      <c r="D21" s="385" t="s">
        <v>15863</v>
      </c>
      <c r="E21" s="386"/>
      <c r="F21" s="386"/>
      <c r="G21" s="386"/>
      <c r="H21" s="386"/>
      <c r="I21" s="386"/>
      <c r="J21" s="38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7">
        <v>45450</v>
      </c>
      <c r="E22" s="38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9" t="str">
        <f ca="1">OFFSET(L!$C$1,MATCH("Declaration"&amp;ADDRESS(ROW(),COLUMN(),4),L!$A:$A,0)-1,SL,,)</f>
        <v>Answer the following questions 1 - 8 based on the declaration scope indicated above</v>
      </c>
      <c r="C24" s="389"/>
      <c r="D24" s="389"/>
      <c r="E24" s="389"/>
      <c r="F24" s="389"/>
      <c r="G24" s="389"/>
      <c r="H24" s="389"/>
      <c r="I24" s="389"/>
      <c r="J24" s="38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t="s">
        <v>2334</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t="s">
        <v>15856</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t="s">
        <v>15855</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15857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15857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402" t="s">
        <v>15865</v>
      </c>
      <c r="H77" s="354"/>
      <c r="I77" s="354"/>
      <c r="J77" s="355"/>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485</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6:J16"/>
    <mergeCell ref="B4:H4"/>
    <mergeCell ref="D10:J10"/>
    <mergeCell ref="D13:J13"/>
    <mergeCell ref="F3:H3"/>
    <mergeCell ref="I4:J4"/>
    <mergeCell ref="D9:G9"/>
    <mergeCell ref="B7:J7"/>
    <mergeCell ref="B10:B11"/>
    <mergeCell ref="D14:J14"/>
    <mergeCell ref="B6:J6"/>
    <mergeCell ref="D15:J15"/>
    <mergeCell ref="D20:J20"/>
    <mergeCell ref="D38:E38"/>
    <mergeCell ref="G39:J39"/>
    <mergeCell ref="G32:J32"/>
    <mergeCell ref="G29:J29"/>
    <mergeCell ref="D57:E57"/>
    <mergeCell ref="G27:J27"/>
    <mergeCell ref="D21:J21"/>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4" priority="160" stopIfTrue="1">
      <formula>IF($D$22="",TRUE)</formula>
    </cfRule>
  </conditionalFormatting>
  <conditionalFormatting sqref="D26:E26">
    <cfRule type="expression" dxfId="83" priority="138" stopIfTrue="1">
      <formula>IF($D$26="",TRUE)</formula>
    </cfRule>
  </conditionalFormatting>
  <conditionalFormatting sqref="D27:E27">
    <cfRule type="expression" dxfId="82" priority="145" stopIfTrue="1">
      <formula>IF($D$27="",TRUE)</formula>
    </cfRule>
  </conditionalFormatting>
  <conditionalFormatting sqref="D28:E28">
    <cfRule type="expression" dxfId="81" priority="146" stopIfTrue="1">
      <formula>IF($D$28="",TRUE)</formula>
    </cfRule>
  </conditionalFormatting>
  <conditionalFormatting sqref="D29:E29">
    <cfRule type="expression" dxfId="80" priority="147" stopIfTrue="1">
      <formula>IF($D$29="",TRUE)</formula>
    </cfRule>
  </conditionalFormatting>
  <conditionalFormatting sqref="D32:E32">
    <cfRule type="expression" dxfId="79" priority="56" stopIfTrue="1">
      <formula>IF(AND(OR($D$26="Yes",$D$26=""),$D$32=""),1,0)</formula>
    </cfRule>
    <cfRule type="expression" dxfId="78" priority="143" stopIfTrue="1">
      <formula>$P$26=""</formula>
    </cfRule>
  </conditionalFormatting>
  <conditionalFormatting sqref="D33:E33">
    <cfRule type="expression" dxfId="77" priority="43" stopIfTrue="1">
      <formula>IF(AND(OR($D$27="Yes",$D$27=""),$D$33=""),1,0)</formula>
    </cfRule>
    <cfRule type="expression" dxfId="76" priority="44" stopIfTrue="1">
      <formula>$P$27=""</formula>
    </cfRule>
  </conditionalFormatting>
  <conditionalFormatting sqref="D34:E34">
    <cfRule type="expression" dxfId="75" priority="2" stopIfTrue="1">
      <formula>IF(AND(OR($D$28="Yes",$D$28=""),$D$34=""),1,0)</formula>
    </cfRule>
    <cfRule type="expression" dxfId="74" priority="3" stopIfTrue="1">
      <formula>$P$28=""</formula>
    </cfRule>
  </conditionalFormatting>
  <conditionalFormatting sqref="D35:E35">
    <cfRule type="expression" dxfId="73" priority="40" stopIfTrue="1">
      <formula>IF(AND(OR($D$29="Yes",$D$29=""),$D$35=""),1,0)</formula>
    </cfRule>
    <cfRule type="expression" dxfId="72" priority="164" stopIfTrue="1">
      <formula>$P$29=""</formula>
    </cfRule>
  </conditionalFormatting>
  <conditionalFormatting sqref="D38:E38 D44:E44 D50:E50 D56:E56 D62:E62 D68:E68">
    <cfRule type="expression" dxfId="71" priority="19" stopIfTrue="1">
      <formula>$P$26=""</formula>
    </cfRule>
    <cfRule type="expression" dxfId="70" priority="20" stopIfTrue="1">
      <formula>$P$32=""</formula>
    </cfRule>
  </conditionalFormatting>
  <conditionalFormatting sqref="D38:E38">
    <cfRule type="expression" dxfId="69" priority="55" stopIfTrue="1">
      <formula>IF(AND(OR($D$26="Yes",$D$26=""),OR($D$32="Yes",$D$32=""),D38=""),1,0)</formula>
    </cfRule>
  </conditionalFormatting>
  <conditionalFormatting sqref="D39:E39 D45:E45 D51:E51 D57:E57 D63:E63 D69:E69">
    <cfRule type="expression" dxfId="68" priority="13" stopIfTrue="1">
      <formula>$P$33=""</formula>
    </cfRule>
    <cfRule type="expression" dxfId="67" priority="14" stopIfTrue="1">
      <formula>$P$39=""</formula>
    </cfRule>
  </conditionalFormatting>
  <conditionalFormatting sqref="D39:E39">
    <cfRule type="expression" dxfId="66" priority="51" stopIfTrue="1">
      <formula>IF(AND(OR($D$27="Yes",$D$27=""),OR($D$33="Yes",$D$33=""),D39=""),1,0)</formula>
    </cfRule>
  </conditionalFormatting>
  <conditionalFormatting sqref="D40:E40 D46:E46 D52:E52 D58:E58 D64:E64 D70:E70">
    <cfRule type="expression" dxfId="65" priority="8" stopIfTrue="1">
      <formula>$P$28=""</formula>
    </cfRule>
    <cfRule type="expression" dxfId="64" priority="9" stopIfTrue="1">
      <formula>$P$34=""</formula>
    </cfRule>
  </conditionalFormatting>
  <conditionalFormatting sqref="D40:E40">
    <cfRule type="expression" dxfId="63" priority="50" stopIfTrue="1">
      <formula>IF(AND(OR($D$28="Yes",$D$28=""),OR($D$34="Yes",$D$34=""),D40=""),1,0)</formula>
    </cfRule>
  </conditionalFormatting>
  <conditionalFormatting sqref="D41:E41 D47:E47 D53:E53 D59:E59 D65:E65 D71:E71">
    <cfRule type="expression" dxfId="62" priority="4" stopIfTrue="1">
      <formula>$P$29=""</formula>
    </cfRule>
    <cfRule type="expression" dxfId="61" priority="5" stopIfTrue="1">
      <formula>$P$35=""</formula>
    </cfRule>
  </conditionalFormatting>
  <conditionalFormatting sqref="D41:E41">
    <cfRule type="expression" dxfId="60" priority="166" stopIfTrue="1">
      <formula>IF(AND(OR($D$29="Yes",$D$29=""),OR($D$35="Yes",$D$35=""),D41=""),1,0)</formula>
    </cfRule>
  </conditionalFormatting>
  <conditionalFormatting sqref="D44:E44">
    <cfRule type="expression" dxfId="59" priority="54" stopIfTrue="1">
      <formula>IF(AND(OR($D$26="Yes",$D$26=""),OR($D$32="Yes",$D$32=""),D44=""),1,0)</formula>
    </cfRule>
  </conditionalFormatting>
  <conditionalFormatting sqref="D45:E45">
    <cfRule type="expression" dxfId="58" priority="16" stopIfTrue="1">
      <formula>IF(AND(OR($D$27="Yes",$D$27=""),OR($D$33="Yes",$D$33=""),D45=""),1,0)</formula>
    </cfRule>
  </conditionalFormatting>
  <conditionalFormatting sqref="D46:E46">
    <cfRule type="expression" dxfId="57" priority="41" stopIfTrue="1">
      <formula>IF(AND(OR($D$28="Yes",$D$28=""),OR($D$34="Yes",$D$34=""),D46=""),1,0)</formula>
    </cfRule>
  </conditionalFormatting>
  <conditionalFormatting sqref="D47:E47">
    <cfRule type="expression" dxfId="56" priority="49" stopIfTrue="1">
      <formula>IF(AND(OR($D$29="Yes",$D$29=""),OR($D$35="Yes",$D$35=""),D47=""),1,0)</formula>
    </cfRule>
  </conditionalFormatting>
  <conditionalFormatting sqref="D50:E50">
    <cfRule type="expression" dxfId="55" priority="22" stopIfTrue="1">
      <formula>IF(AND(OR($D$26="Yes",$D$26=""),OR($D$32="Yes",$D$32=""),D50=""),1,0)</formula>
    </cfRule>
  </conditionalFormatting>
  <conditionalFormatting sqref="D51:E51">
    <cfRule type="expression" dxfId="54" priority="161" stopIfTrue="1">
      <formula>IF(AND(OR($D$27="Yes",$D$27=""),OR($D$33="Yes",$D$33=""),D51=""),1,0)</formula>
    </cfRule>
  </conditionalFormatting>
  <conditionalFormatting sqref="D52:E52">
    <cfRule type="expression" dxfId="53" priority="12" stopIfTrue="1">
      <formula>IF(AND(OR($D$28="Yes",$D$28=""),OR($D$34="Yes",$D$34=""),D52=""),1,0)</formula>
    </cfRule>
  </conditionalFormatting>
  <conditionalFormatting sqref="D53:E53">
    <cfRule type="expression" dxfId="52" priority="35" stopIfTrue="1">
      <formula>IF(AND(OR($D$29="Yes",$D$29=""),OR($D$35="Yes",$D$35=""),D53=""),1,0)</formula>
    </cfRule>
  </conditionalFormatting>
  <conditionalFormatting sqref="D56:E56">
    <cfRule type="expression" dxfId="51" priority="30" stopIfTrue="1">
      <formula>IF(AND(OR($D$26="Yes",$D$26=""),OR($D$32="Yes",$D$32=""),D56=""),1,0)</formula>
    </cfRule>
  </conditionalFormatting>
  <conditionalFormatting sqref="D57:E57">
    <cfRule type="expression" dxfId="50" priority="18" stopIfTrue="1">
      <formula>IF(AND(OR($D$27="Yes",$D$27=""),OR($D$33="Yes",$D$33=""),D57=""),1,0)</formula>
    </cfRule>
  </conditionalFormatting>
  <conditionalFormatting sqref="D58:E58">
    <cfRule type="expression" dxfId="49" priority="11" stopIfTrue="1">
      <formula>IF(AND(OR($D$28="Yes",$D$28=""),OR($D$34="Yes",$D$34=""),D58=""),1,0)</formula>
    </cfRule>
  </conditionalFormatting>
  <conditionalFormatting sqref="D59:E59">
    <cfRule type="expression" dxfId="48" priority="7" stopIfTrue="1">
      <formula>IF(AND(OR($D$29="Yes",$D$29=""),OR($D$35="Yes",$D$35=""),D59=""),1,0)</formula>
    </cfRule>
  </conditionalFormatting>
  <conditionalFormatting sqref="D62:E62">
    <cfRule type="expression" dxfId="47" priority="29" stopIfTrue="1">
      <formula>IF(AND(OR($D$26="Yes",$D$26=""),OR($D$32="Yes",$D$32=""),D62=""),1,0)</formula>
    </cfRule>
  </conditionalFormatting>
  <conditionalFormatting sqref="D63:E63">
    <cfRule type="expression" dxfId="46" priority="15" stopIfTrue="1">
      <formula>IF(AND(OR($D$27="Yes",$D$27=""),OR($D$33="Yes",$D$33=""),D63=""),1,0)</formula>
    </cfRule>
  </conditionalFormatting>
  <conditionalFormatting sqref="D64:E64">
    <cfRule type="expression" dxfId="45" priority="10" stopIfTrue="1">
      <formula>IF(AND(OR($D$28="Yes",$D$28=""),OR($D$34="Yes",$D$34=""),D64=""),1,0)</formula>
    </cfRule>
  </conditionalFormatting>
  <conditionalFormatting sqref="D65:E65">
    <cfRule type="expression" dxfId="44" priority="6" stopIfTrue="1">
      <formula>IF(AND(OR($D$29="Yes",$D$29=""),OR($D$35="Yes",$D$35=""),D65=""),1,0)</formula>
    </cfRule>
  </conditionalFormatting>
  <conditionalFormatting sqref="D68:E68">
    <cfRule type="expression" dxfId="43" priority="21" stopIfTrue="1">
      <formula>IF(AND(OR($D$26="Yes",$D$26=""),OR($D$32="Yes",$D$32=""),D68=""),1,0)</formula>
    </cfRule>
  </conditionalFormatting>
  <conditionalFormatting sqref="D69:E69">
    <cfRule type="expression" dxfId="42" priority="17" stopIfTrue="1">
      <formula>IF(AND(OR($D$27="Yes",$D$27=""),OR($D$33="Yes",$D$33=""),D69=""),1,0)</formula>
    </cfRule>
  </conditionalFormatting>
  <conditionalFormatting sqref="D70:E70">
    <cfRule type="expression" dxfId="41" priority="163" stopIfTrue="1">
      <formula>IF(AND(OR($D$28="Yes",$D$28=""),OR($D$34="Yes",$D$34=""),D70=""),1,0)</formula>
    </cfRule>
  </conditionalFormatting>
  <conditionalFormatting sqref="D71:E71">
    <cfRule type="expression" dxfId="40" priority="165" stopIfTrue="1">
      <formula>IF(AND(OR($D$29="Yes",$D$29=""),OR($D$35="Yes",$D$35=""),D71=""),1,0)</formula>
    </cfRule>
  </conditionalFormatting>
  <conditionalFormatting sqref="D75:E75 D77:E77 D79:E79 D81:E81 D83 D85:E85 D87:E87 D89:E89">
    <cfRule type="expression" dxfId="39" priority="86" stopIfTrue="1">
      <formula>AND(OR($D$26="No",AND($D$26="Yes",$D$32="No")),OR($D$27="No",AND($D$27="Yes",$D$33="No")),OR($D$28="No",AND($D$28="Yes",$D$34="No")),OR($D$29="No",AND($D$29="Yes",$D$35="No")))</formula>
    </cfRule>
    <cfRule type="expression" dxfId="38" priority="87" stopIfTrue="1">
      <formula>IF(D75="",TRUE)</formula>
    </cfRule>
  </conditionalFormatting>
  <conditionalFormatting sqref="D9:G9">
    <cfRule type="expression" dxfId="37" priority="153" stopIfTrue="1">
      <formula>IF($D$9="",TRUE)</formula>
    </cfRule>
  </conditionalFormatting>
  <conditionalFormatting sqref="D8:J8">
    <cfRule type="expression" dxfId="36" priority="152" stopIfTrue="1">
      <formula>IF($D$8="",TRUE)</formula>
    </cfRule>
  </conditionalFormatting>
  <conditionalFormatting sqref="D10:J10">
    <cfRule type="expression" dxfId="35" priority="57" stopIfTrue="1">
      <formula>IF($D$9=$Q$9,TRUE)</formula>
    </cfRule>
    <cfRule type="expression" dxfId="34" priority="167" stopIfTrue="1">
      <formula>IF(AND($D$10="",$D$9=$R$9),TRUE)</formula>
    </cfRule>
  </conditionalFormatting>
  <conditionalFormatting sqref="D14:J14">
    <cfRule type="expression" dxfId="33" priority="154" stopIfTrue="1">
      <formula>IF($D$14="",TRUE)</formula>
    </cfRule>
  </conditionalFormatting>
  <conditionalFormatting sqref="D15:J15">
    <cfRule type="expression" dxfId="32" priority="155" stopIfTrue="1">
      <formula>IF($D$15="",TRUE)</formula>
    </cfRule>
  </conditionalFormatting>
  <conditionalFormatting sqref="D16:J16">
    <cfRule type="expression" dxfId="31" priority="23" stopIfTrue="1">
      <formula>IF($D$16="",TRUE)</formula>
    </cfRule>
  </conditionalFormatting>
  <conditionalFormatting sqref="D18:J18">
    <cfRule type="expression" dxfId="30" priority="157" stopIfTrue="1">
      <formula>IF($D$18="",TRUE)</formula>
    </cfRule>
  </conditionalFormatting>
  <conditionalFormatting sqref="G85:J85">
    <cfRule type="expression" dxfId="28" priority="48" stopIfTrue="1">
      <formula>IF(AND($D$85="Yes, using other format (describe)",$G$85=""),TRUE)</formula>
    </cfRule>
  </conditionalFormatting>
  <conditionalFormatting sqref="G77:J77">
    <cfRule type="expression" dxfId="3" priority="1" stopIfTrue="1">
      <formula>IF(AND($D$77="Yes",$G$77=""),TRUE)</formula>
    </cfRule>
  </conditionalFormatting>
  <dataValidations count="28">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4:J14"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5:J15" xr:uid="{143FB750-85C5-4190-85BB-F8E5D27FCB4C}"/>
    <dataValidation allowBlank="1" showErrorMessage="1" promptTitle="Contact Phone" prompt="Insert the telephone number for the contact." sqref="D16:J16"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qa@jqltechnologies.com" xr:uid="{173FF1E7-018A-45CC-A501-AA3BDE4FDA7E}"/>
    <hyperlink ref="D20" r:id="rId4" xr:uid="{376DDA0D-B3AC-4BD5-AA8C-672A1BC3C400}"/>
    <hyperlink ref="D16:J16" r:id="rId5" display="christina@jqltechnologies.com" xr:uid="{0EE6C8F1-1283-4FC9-B52D-029978846B8E}"/>
    <hyperlink ref="G77" r:id="rId6" location="serviceAndQuality" xr:uid="{6ED0BF16-637F-4697-ADC8-2A66C4005911}"/>
    <hyperlink ref="D15" r:id="rId7" xr:uid="{AF91716A-E6D6-41A0-84B9-195D1E270927}"/>
  </hyperlinks>
  <pageMargins left="0.70866141732283505" right="0.70866141732283505" top="0.74803149606299202" bottom="0.74803149606299202" header="0.31496062992126" footer="0.31496062992126"/>
  <pageSetup scale="41" fitToHeight="0" orientation="portrait" r:id="rId8"/>
  <rowBreaks count="1" manualBreakCount="1">
    <brk id="66" max="11" man="1"/>
  </rowBreaks>
  <drawing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C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484</v>
      </c>
    </row>
    <row r="3" spans="1:34" s="221" customFormat="1" ht="173.45"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2024 Responsible Minerals Initiative. All rights reserved.</v>
      </c>
      <c r="H3" s="393"/>
      <c r="I3" s="394"/>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80" t="s">
        <v>728</v>
      </c>
      <c r="B5" s="182" t="s">
        <v>1119</v>
      </c>
      <c r="C5" s="186" t="s">
        <v>15020</v>
      </c>
      <c r="D5" s="230"/>
      <c r="E5" s="182" t="str">
        <f ca="1">IF(ISERROR($V5),"",OFFSET('Smelter Look-up'!$D$4,$V5-4,0)&amp;"")</f>
        <v>CHINA</v>
      </c>
      <c r="F5" s="182" t="str">
        <f ca="1">IF(ISERROR($V5),"",OFFSET('Smelter Look-up'!$E$4,$V5-4,0))</f>
        <v>CID001916</v>
      </c>
      <c r="G5" s="182" t="str">
        <f ca="1">IF(C5=$X$4,IF(ISERROR($V5),"Enter smelter details","RMI"),IF(ISERROR($V5),"",OFFSET('Smelter Look-up'!$F$4,$V5-4,0)))</f>
        <v>RMI</v>
      </c>
      <c r="H5" s="183">
        <f ca="1">IF(ISERROR($V5),"",OFFSET('Smelter Look-up'!$G$4,$V5-4,0))</f>
        <v>0</v>
      </c>
      <c r="I5" s="184" t="str">
        <f ca="1">IF(ISERROR($V5),"",OFFSET('Smelter Look-up'!$H$4,$V5-4,0))</f>
        <v>Laizhou</v>
      </c>
      <c r="J5" s="184" t="str">
        <f ca="1">IF(ISERROR($V5),"",OFFSET('Smelter Look-up'!$I$4,$V5-4,0))</f>
        <v>Shandong Sheng</v>
      </c>
      <c r="K5" s="224"/>
      <c r="L5" s="224"/>
      <c r="M5" s="224"/>
      <c r="N5" s="224"/>
      <c r="O5" s="224"/>
      <c r="P5" s="185"/>
      <c r="Q5" s="225"/>
      <c r="R5" s="182" t="str">
        <f ca="1">IF(ISERROR($V5),"",OFFSET('Smelter Look-up'!$C$4,$V5-4,0)&amp;"")</f>
        <v>Shandong Gold Smelting Co., Ltd.</v>
      </c>
      <c r="S5" s="181" t="str">
        <f ca="1">IF(B5="","",IF(ISERROR(MATCH($E5,CL,0)),"Unknown",INDIRECT("'C'!$A$"&amp;MATCH($E5,CL,0)+1)))</f>
        <v>CN</v>
      </c>
      <c r="T5" s="181" t="str">
        <f ca="1">IF(B5="","",IF(ISERROR(MATCH($J5,SorP!$B$1:$B$6226,0)),"",INDIRECT("'SorP'!$A$"&amp;MATCH($S5&amp;$J5,SorP!C:C,0))))</f>
        <v>CN-SD</v>
      </c>
      <c r="U5" s="201"/>
      <c r="V5" s="226">
        <f>IF(C5="",NA(),IF(OR(C5="Smelter not listed",C5="Smelter not yet identified"),MATCH($B5&amp;$D5,'Smelter Look-up'!$J:$J,0),MATCH($B5&amp;$C5,'Smelter Look-up'!$J:$J,0)))</f>
        <v>249</v>
      </c>
      <c r="X5" s="227">
        <f t="shared" ref="X5" ca="1" si="0">IF(AND(C5="Smelter not listed",OR(LEN(D5)=0,LEN(E5)=0)),1,0)</f>
        <v>0</v>
      </c>
      <c r="AB5" s="228" t="str">
        <f t="shared" ref="AB5" si="1">B5&amp;C5</f>
        <v>GoldShandong Gold Smelting Co., Ltd.</v>
      </c>
    </row>
    <row r="6" spans="1:34" s="227" customFormat="1" ht="20.100000000000001" customHeight="1">
      <c r="A6" s="280" t="s">
        <v>765</v>
      </c>
      <c r="B6" s="182" t="s">
        <v>1120</v>
      </c>
      <c r="C6" s="186" t="s">
        <v>1315</v>
      </c>
      <c r="D6" s="230"/>
      <c r="E6" s="182" t="str">
        <f ca="1">IF(ISERROR($V6),"",OFFSET('Smelter Look-up'!$D$4,$V6-4,0)&amp;"")</f>
        <v>CHINA</v>
      </c>
      <c r="F6" s="182" t="str">
        <f ca="1">IF(ISERROR($V6),"",OFFSET('Smelter Look-up'!$E$4,$V6-4,0))</f>
        <v>CID001070</v>
      </c>
      <c r="G6" s="182" t="str">
        <f ca="1">IF(C6=$X$4,IF(ISERROR($V6),"Enter smelter details","RMI"),IF(ISERROR($V6),"",OFFSET('Smelter Look-up'!$F$4,$V6-4,0)))</f>
        <v>RMI</v>
      </c>
      <c r="H6" s="183">
        <f ca="1">IF(ISERROR($V6),"",OFFSET('Smelter Look-up'!$G$4,$V6-4,0))</f>
        <v>0</v>
      </c>
      <c r="I6" s="184" t="str">
        <f ca="1">IF(ISERROR($V6),"",OFFSET('Smelter Look-up'!$H$4,$V6-4,0))</f>
        <v>Laibin</v>
      </c>
      <c r="J6" s="184" t="str">
        <f ca="1">IF(ISERROR($V6),"",OFFSET('Smelter Look-up'!$I$4,$V6-4,0))</f>
        <v>Guangxi Zhuangzu Zizhiqu</v>
      </c>
      <c r="K6" s="224"/>
      <c r="L6" s="224"/>
      <c r="M6" s="224"/>
      <c r="N6" s="224"/>
      <c r="O6" s="224"/>
      <c r="P6" s="185"/>
      <c r="Q6" s="225"/>
      <c r="R6" s="182" t="str">
        <f ca="1">IF(ISERROR($V6),"",OFFSET('Smelter Look-up'!$C$4,$V6-4,0)&amp;"")</f>
        <v>China Tin Group Co., Ltd.</v>
      </c>
      <c r="S6" s="181" t="str">
        <f t="shared" ref="S6:S37" ca="1" si="2">IF(B6="","",IF(ISERROR(MATCH($E6,CL,0)),"Unknown",INDIRECT("'C'!$A$"&amp;MATCH($E6,CL,0)+1)))</f>
        <v>CN</v>
      </c>
      <c r="T6" s="181" t="str">
        <f ca="1">IF(B6="","",IF(ISERROR(MATCH($J6,SorP!$B$1:$B$6226,0)),"",INDIRECT("'SorP'!$A$"&amp;MATCH($S6&amp;$J6,SorP!C:C,0))))</f>
        <v>CN-GX</v>
      </c>
      <c r="U6" s="201"/>
      <c r="V6" s="226">
        <f>IF(C6="",NA(),IF(OR(C6="Smelter not listed",C6="Smelter not yet identified"),MATCH($B6&amp;$D6,'Smelter Look-up'!$J:$J,0),MATCH($B6&amp;$C6,'Smelter Look-up'!$J:$J,0)))</f>
        <v>414</v>
      </c>
      <c r="X6" s="227">
        <f t="shared" ref="X6:X37" ca="1" si="3">IF(AND(C6="Smelter not listed",OR(LEN(D6)=0,LEN(E6)=0)),1,0)</f>
        <v>0</v>
      </c>
      <c r="AB6" s="228" t="str">
        <f t="shared" ref="AB6:AB37" si="4">B6&amp;C6</f>
        <v>TinChina Tin Group Co., Ltd.</v>
      </c>
    </row>
    <row r="7" spans="1:34" s="227" customFormat="1" ht="20.100000000000001" customHeight="1">
      <c r="A7" s="280" t="s">
        <v>782</v>
      </c>
      <c r="B7" s="182" t="s">
        <v>1120</v>
      </c>
      <c r="C7" s="186" t="s">
        <v>15436</v>
      </c>
      <c r="D7" s="230"/>
      <c r="E7" s="182" t="str">
        <f ca="1">IF(ISERROR($V7),"",OFFSET('Smelter Look-up'!$D$4,$V7-4,0)&amp;"")</f>
        <v>CHINA</v>
      </c>
      <c r="F7" s="182" t="str">
        <f ca="1">IF(ISERROR($V7),"",OFFSET('Smelter Look-up'!$E$4,$V7-4,0))</f>
        <v>CID002180</v>
      </c>
      <c r="G7" s="182" t="str">
        <f ca="1">IF(C7=$X$4,IF(ISERROR($V7),"Enter smelter details","RMI"),IF(ISERROR($V7),"",OFFSET('Smelter Look-up'!$F$4,$V7-4,0)))</f>
        <v>RMI</v>
      </c>
      <c r="H7" s="183">
        <f ca="1">IF(ISERROR($V7),"",OFFSET('Smelter Look-up'!$G$4,$V7-4,0))</f>
        <v>0</v>
      </c>
      <c r="I7" s="184" t="str">
        <f ca="1">IF(ISERROR($V7),"",OFFSET('Smelter Look-up'!$H$4,$V7-4,0))</f>
        <v>Gejiu</v>
      </c>
      <c r="J7" s="184" t="str">
        <f ca="1">IF(ISERROR($V7),"",OFFSET('Smelter Look-up'!$I$4,$V7-4,0))</f>
        <v>Yunnan Sheng</v>
      </c>
      <c r="K7" s="224"/>
      <c r="L7" s="224"/>
      <c r="M7" s="224"/>
      <c r="N7" s="224"/>
      <c r="O7" s="224"/>
      <c r="P7" s="185"/>
      <c r="Q7" s="225"/>
      <c r="R7" s="182" t="str">
        <f ca="1">IF(ISERROR($V7),"",OFFSET('Smelter Look-up'!$C$4,$V7-4,0)&amp;"")</f>
        <v>Tin Smelting Branch of Yunnan Tin Co., Ltd.</v>
      </c>
      <c r="S7" s="181" t="str">
        <f t="shared" ca="1" si="2"/>
        <v>CN</v>
      </c>
      <c r="T7" s="181" t="str">
        <f ca="1">IF(B7="","",IF(ISERROR(MATCH($J7,SorP!$B$1:$B$6226,0)),"",INDIRECT("'SorP'!$A$"&amp;MATCH($S7&amp;$J7,SorP!C:C,0))))</f>
        <v>CN-YN</v>
      </c>
      <c r="U7" s="201"/>
      <c r="V7" s="226">
        <f>IF(C7="",NA(),IF(OR(C7="Smelter not listed",C7="Smelter not yet identified"),MATCH($B7&amp;$D7,'Smelter Look-up'!$J:$J,0),MATCH($B7&amp;$C7,'Smelter Look-up'!$J:$J,0)))</f>
        <v>550</v>
      </c>
      <c r="X7" s="227">
        <f t="shared" ca="1" si="3"/>
        <v>0</v>
      </c>
      <c r="AB7" s="228" t="str">
        <f t="shared" si="4"/>
        <v>TinTin Smelting Branch of Yunnan Tin Co., Ltd.</v>
      </c>
    </row>
    <row r="8" spans="1:34" s="227" customFormat="1" ht="20.100000000000001" customHeight="1">
      <c r="A8" s="280" t="s">
        <v>762</v>
      </c>
      <c r="B8" s="182" t="s">
        <v>1120</v>
      </c>
      <c r="C8" s="186" t="s">
        <v>2128</v>
      </c>
      <c r="D8" s="230"/>
      <c r="E8" s="182" t="str">
        <f ca="1">IF(ISERROR($V8),"",OFFSET('Smelter Look-up'!$D$4,$V8-4,0)&amp;"")</f>
        <v>CHINA</v>
      </c>
      <c r="F8" s="182" t="str">
        <f ca="1">IF(ISERROR($V8),"",OFFSET('Smelter Look-up'!$E$4,$V8-4,0))</f>
        <v>CID000538</v>
      </c>
      <c r="G8" s="182" t="str">
        <f ca="1">IF(C8=$X$4,IF(ISERROR($V8),"Enter smelter details","RMI"),IF(ISERROR($V8),"",OFFSET('Smelter Look-up'!$F$4,$V8-4,0)))</f>
        <v>RMI</v>
      </c>
      <c r="H8" s="183">
        <f ca="1">IF(ISERROR($V8),"",OFFSET('Smelter Look-up'!$G$4,$V8-4,0))</f>
        <v>0</v>
      </c>
      <c r="I8" s="184" t="str">
        <f ca="1">IF(ISERROR($V8),"",OFFSET('Smelter Look-up'!$H$4,$V8-4,0))</f>
        <v>Gejiu</v>
      </c>
      <c r="J8" s="184" t="str">
        <f ca="1">IF(ISERROR($V8),"",OFFSET('Smelter Look-up'!$I$4,$V8-4,0))</f>
        <v>Yunnan Sheng</v>
      </c>
      <c r="K8" s="224"/>
      <c r="L8" s="224"/>
      <c r="M8" s="224"/>
      <c r="N8" s="224"/>
      <c r="O8" s="224"/>
      <c r="P8" s="185"/>
      <c r="Q8" s="225"/>
      <c r="R8" s="182" t="str">
        <f ca="1">IF(ISERROR($V8),"",OFFSET('Smelter Look-up'!$C$4,$V8-4,0)&amp;"")</f>
        <v>Gejiu Non-Ferrous Metal Processing Co., Ltd.</v>
      </c>
      <c r="S8" s="181" t="str">
        <f t="shared" ca="1" si="2"/>
        <v>CN</v>
      </c>
      <c r="T8" s="181" t="str">
        <f ca="1">IF(B8="","",IF(ISERROR(MATCH($J8,SorP!$B$1:$B$6226,0)),"",INDIRECT("'SorP'!$A$"&amp;MATCH($S8&amp;$J8,SorP!C:C,0))))</f>
        <v>CN-YN</v>
      </c>
      <c r="U8" s="201"/>
      <c r="V8" s="226">
        <f>IF(C8="",NA(),IF(OR(C8="Smelter not listed",C8="Smelter not yet identified"),MATCH($B8&amp;$D8,'Smelter Look-up'!$J:$J,0),MATCH($B8&amp;$C8,'Smelter Look-up'!$J:$J,0)))</f>
        <v>448</v>
      </c>
      <c r="X8" s="227">
        <f t="shared" ca="1" si="3"/>
        <v>0</v>
      </c>
      <c r="AB8" s="228" t="str">
        <f t="shared" si="4"/>
        <v>TinGejiu Non-Ferrous Metal Processing Co., Ltd.</v>
      </c>
    </row>
    <row r="9" spans="1:34" s="227" customFormat="1" ht="20.100000000000001" customHeight="1">
      <c r="A9" s="280" t="s">
        <v>1774</v>
      </c>
      <c r="B9" s="182" t="s">
        <v>1120</v>
      </c>
      <c r="C9" s="186" t="s">
        <v>13158</v>
      </c>
      <c r="D9" s="230"/>
      <c r="E9" s="182" t="str">
        <f ca="1">IF(ISERROR($V9),"",OFFSET('Smelter Look-up'!$D$4,$V9-4,0)&amp;"")</f>
        <v>CHINA</v>
      </c>
      <c r="F9" s="182" t="str">
        <f ca="1">IF(ISERROR($V9),"",OFFSET('Smelter Look-up'!$E$4,$V9-4,0))</f>
        <v>CID001231</v>
      </c>
      <c r="G9" s="182" t="str">
        <f ca="1">IF(C9=$X$4,IF(ISERROR($V9),"Enter smelter details","RMI"),IF(ISERROR($V9),"",OFFSET('Smelter Look-up'!$F$4,$V9-4,0)))</f>
        <v>RMI</v>
      </c>
      <c r="H9" s="183">
        <f ca="1">IF(ISERROR($V9),"",OFFSET('Smelter Look-up'!$G$4,$V9-4,0))</f>
        <v>0</v>
      </c>
      <c r="I9" s="184" t="str">
        <f ca="1">IF(ISERROR($V9),"",OFFSET('Smelter Look-up'!$H$4,$V9-4,0))</f>
        <v>Ganzhou</v>
      </c>
      <c r="J9" s="184" t="str">
        <f ca="1">IF(ISERROR($V9),"",OFFSET('Smelter Look-up'!$I$4,$V9-4,0))</f>
        <v>Jiangxi Sheng</v>
      </c>
      <c r="K9" s="224"/>
      <c r="L9" s="224"/>
      <c r="M9" s="224"/>
      <c r="N9" s="224"/>
      <c r="O9" s="224"/>
      <c r="P9" s="185"/>
      <c r="Q9" s="225"/>
      <c r="R9" s="182" t="str">
        <f ca="1">IF(ISERROR($V9),"",OFFSET('Smelter Look-up'!$C$4,$V9-4,0)&amp;"")</f>
        <v>Jiangxi New Nanshan Technology Ltd.</v>
      </c>
      <c r="S9" s="181" t="str">
        <f t="shared" ca="1" si="2"/>
        <v>CN</v>
      </c>
      <c r="T9" s="181" t="str">
        <f ca="1">IF(B9="","",IF(ISERROR(MATCH($J9,SorP!$B$1:$B$6226,0)),"",INDIRECT("'SorP'!$A$"&amp;MATCH($S9&amp;$J9,SorP!C:C,0))))</f>
        <v>CN-JX</v>
      </c>
      <c r="U9" s="201"/>
      <c r="V9" s="226">
        <f>IF(C9="",NA(),IF(OR(C9="Smelter not listed",C9="Smelter not yet identified"),MATCH($B9&amp;$D9,'Smelter Look-up'!$J:$J,0),MATCH($B9&amp;$C9,'Smelter Look-up'!$J:$J,0)))</f>
        <v>464</v>
      </c>
      <c r="X9" s="227">
        <f t="shared" ca="1" si="3"/>
        <v>0</v>
      </c>
      <c r="AB9" s="228" t="str">
        <f t="shared" si="4"/>
        <v>TinJiangxi New Nanshan Technology Ltd.</v>
      </c>
    </row>
    <row r="10" spans="1:34" s="227" customFormat="1" ht="20.100000000000001" customHeight="1">
      <c r="A10" s="280" t="s">
        <v>781</v>
      </c>
      <c r="B10" s="182" t="s">
        <v>1120</v>
      </c>
      <c r="C10" s="186" t="s">
        <v>2150</v>
      </c>
      <c r="D10" s="230"/>
      <c r="E10" s="182" t="str">
        <f ca="1">IF(ISERROR($V10),"",OFFSET('Smelter Look-up'!$D$4,$V10-4,0)&amp;"")</f>
        <v>CHINA</v>
      </c>
      <c r="F10" s="182" t="str">
        <f ca="1">IF(ISERROR($V10),"",OFFSET('Smelter Look-up'!$E$4,$V10-4,0))</f>
        <v>CID002158</v>
      </c>
      <c r="G10" s="182" t="str">
        <f ca="1">IF(C10=$X$4,IF(ISERROR($V10),"Enter smelter details","RMI"),IF(ISERROR($V10),"",OFFSET('Smelter Look-up'!$F$4,$V10-4,0)))</f>
        <v>RMI</v>
      </c>
      <c r="H10" s="183">
        <f ca="1">IF(ISERROR($V10),"",OFFSET('Smelter Look-up'!$G$4,$V10-4,0))</f>
        <v>0</v>
      </c>
      <c r="I10" s="184" t="str">
        <f ca="1">IF(ISERROR($V10),"",OFFSET('Smelter Look-up'!$H$4,$V10-4,0))</f>
        <v>Gejiu</v>
      </c>
      <c r="J10" s="184" t="str">
        <f ca="1">IF(ISERROR($V10),"",OFFSET('Smelter Look-up'!$I$4,$V10-4,0))</f>
        <v>Yunnan Sheng</v>
      </c>
      <c r="K10" s="224"/>
      <c r="L10" s="224"/>
      <c r="M10" s="224"/>
      <c r="N10" s="224"/>
      <c r="O10" s="224"/>
      <c r="P10" s="185"/>
      <c r="Q10" s="225"/>
      <c r="R10" s="182" t="str">
        <f ca="1">IF(ISERROR($V10),"",OFFSET('Smelter Look-up'!$C$4,$V10-4,0)&amp;"")</f>
        <v>Yunnan Chengfeng Non-ferrous Metals Co., Ltd.</v>
      </c>
      <c r="S10" s="181" t="str">
        <f t="shared" ca="1" si="2"/>
        <v>CN</v>
      </c>
      <c r="T10" s="181" t="str">
        <f ca="1">IF(B10="","",IF(ISERROR(MATCH($J10,SorP!$B$1:$B$6226,0)),"",INDIRECT("'SorP'!$A$"&amp;MATCH($S10&amp;$J10,SorP!C:C,0))))</f>
        <v>CN-YN</v>
      </c>
      <c r="U10" s="201"/>
      <c r="V10" s="226">
        <f>IF(C10="",NA(),IF(OR(C10="Smelter not listed",C10="Smelter not yet identified"),MATCH($B10&amp;$D10,'Smelter Look-up'!$J:$J,0),MATCH($B10&amp;$C10,'Smelter Look-up'!$J:$J,0)))</f>
        <v>565</v>
      </c>
      <c r="X10" s="227">
        <f t="shared" ca="1" si="3"/>
        <v>0</v>
      </c>
      <c r="AB10" s="228" t="str">
        <f t="shared" si="4"/>
        <v>TinYunnan Chengfeng Non-ferrous Metals Co., Ltd.</v>
      </c>
    </row>
    <row r="11" spans="1:34" s="227" customFormat="1" ht="20.100000000000001" customHeight="1">
      <c r="A11" s="280" t="s">
        <v>728</v>
      </c>
      <c r="B11" s="182" t="s">
        <v>1119</v>
      </c>
      <c r="C11" s="186" t="s">
        <v>15020</v>
      </c>
      <c r="D11" s="230"/>
      <c r="E11" s="182" t="str">
        <f ca="1">IF(ISERROR($V11),"",OFFSET('Smelter Look-up'!$D$4,$V11-4,0)&amp;"")</f>
        <v>CHINA</v>
      </c>
      <c r="F11" s="182" t="str">
        <f ca="1">IF(ISERROR($V11),"",OFFSET('Smelter Look-up'!$E$4,$V11-4,0))</f>
        <v>CID001916</v>
      </c>
      <c r="G11" s="182" t="str">
        <f ca="1">IF(C11=$X$4,IF(ISERROR($V11),"Enter smelter details","RMI"),IF(ISERROR($V11),"",OFFSET('Smelter Look-up'!$F$4,$V11-4,0)))</f>
        <v>RMI</v>
      </c>
      <c r="H11" s="183">
        <f ca="1">IF(ISERROR($V11),"",OFFSET('Smelter Look-up'!$G$4,$V11-4,0))</f>
        <v>0</v>
      </c>
      <c r="I11" s="184" t="str">
        <f ca="1">IF(ISERROR($V11),"",OFFSET('Smelter Look-up'!$H$4,$V11-4,0))</f>
        <v>Laizhou</v>
      </c>
      <c r="J11" s="184" t="str">
        <f ca="1">IF(ISERROR($V11),"",OFFSET('Smelter Look-up'!$I$4,$V11-4,0))</f>
        <v>Shandong Sheng</v>
      </c>
      <c r="K11" s="224"/>
      <c r="L11" s="224"/>
      <c r="M11" s="224"/>
      <c r="N11" s="224"/>
      <c r="O11" s="224"/>
      <c r="P11" s="185"/>
      <c r="Q11" s="225"/>
      <c r="R11" s="182" t="str">
        <f ca="1">IF(ISERROR($V11),"",OFFSET('Smelter Look-up'!$C$4,$V11-4,0)&amp;"")</f>
        <v>Shandong Gold Smelting Co., Ltd.</v>
      </c>
      <c r="S11" s="181" t="str">
        <f t="shared" ca="1" si="2"/>
        <v>CN</v>
      </c>
      <c r="T11" s="181" t="str">
        <f ca="1">IF(B11="","",IF(ISERROR(MATCH($J11,SorP!$B$1:$B$6226,0)),"",INDIRECT("'SorP'!$A$"&amp;MATCH($S11&amp;$J11,SorP!C:C,0))))</f>
        <v>CN-SD</v>
      </c>
      <c r="U11" s="201"/>
      <c r="V11" s="226">
        <f>IF(C11="",NA(),IF(OR(C11="Smelter not listed",C11="Smelter not yet identified"),MATCH($B11&amp;$D11,'Smelter Look-up'!$J:$J,0),MATCH($B11&amp;$C11,'Smelter Look-up'!$J:$J,0)))</f>
        <v>249</v>
      </c>
      <c r="X11" s="227">
        <f t="shared" ca="1" si="3"/>
        <v>0</v>
      </c>
      <c r="AB11" s="228" t="str">
        <f t="shared" si="4"/>
        <v>GoldShandong Gold Smelting Co., Ltd.</v>
      </c>
    </row>
    <row r="12" spans="1:34" s="227" customFormat="1" ht="20.100000000000001" customHeight="1">
      <c r="A12" s="280" t="s">
        <v>701</v>
      </c>
      <c r="B12" s="182" t="s">
        <v>1119</v>
      </c>
      <c r="C12" s="186" t="s">
        <v>2288</v>
      </c>
      <c r="D12" s="230"/>
      <c r="E12" s="182" t="str">
        <f ca="1">IF(ISERROR($V12),"",OFFSET('Smelter Look-up'!$D$4,$V12-4,0)&amp;"")</f>
        <v>SWITZERLAND</v>
      </c>
      <c r="F12" s="182" t="str">
        <f ca="1">IF(ISERROR($V12),"",OFFSET('Smelter Look-up'!$E$4,$V12-4,0))</f>
        <v>CID001153</v>
      </c>
      <c r="G12" s="182" t="str">
        <f ca="1">IF(C12=$X$4,IF(ISERROR($V12),"Enter smelter details","RMI"),IF(ISERROR($V12),"",OFFSET('Smelter Look-up'!$F$4,$V12-4,0)))</f>
        <v>RMI</v>
      </c>
      <c r="H12" s="183">
        <f ca="1">IF(ISERROR($V12),"",OFFSET('Smelter Look-up'!$G$4,$V12-4,0))</f>
        <v>0</v>
      </c>
      <c r="I12" s="184" t="str">
        <f ca="1">IF(ISERROR($V12),"",OFFSET('Smelter Look-up'!$H$4,$V12-4,0))</f>
        <v>Marin</v>
      </c>
      <c r="J12" s="184" t="str">
        <f ca="1">IF(ISERROR($V12),"",OFFSET('Smelter Look-up'!$I$4,$V12-4,0))</f>
        <v>Neuchâtel</v>
      </c>
      <c r="K12" s="224"/>
      <c r="L12" s="224"/>
      <c r="M12" s="224"/>
      <c r="N12" s="224"/>
      <c r="O12" s="224"/>
      <c r="P12" s="185"/>
      <c r="Q12" s="225"/>
      <c r="R12" s="182" t="str">
        <f ca="1">IF(ISERROR($V12),"",OFFSET('Smelter Look-up'!$C$4,$V12-4,0)&amp;"")</f>
        <v>Metalor Technologies S.A.</v>
      </c>
      <c r="S12" s="181" t="str">
        <f t="shared" ca="1" si="2"/>
        <v>CH</v>
      </c>
      <c r="T12" s="181" t="str">
        <f ca="1">IF(B12="","",IF(ISERROR(MATCH($J12,SorP!$B$1:$B$6226,0)),"",INDIRECT("'SorP'!$A$"&amp;MATCH($S12&amp;$J12,SorP!C:C,0))))</f>
        <v>CH-NE</v>
      </c>
      <c r="U12" s="201"/>
      <c r="V12" s="226">
        <f>IF(C12="",NA(),IF(OR(C12="Smelter not listed",C12="Smelter not yet identified"),MATCH($B12&amp;$D12,'Smelter Look-up'!$J:$J,0),MATCH($B12&amp;$C12,'Smelter Look-up'!$J:$J,0)))</f>
        <v>186</v>
      </c>
      <c r="X12" s="227">
        <f t="shared" ca="1" si="3"/>
        <v>0</v>
      </c>
      <c r="AB12" s="228" t="str">
        <f t="shared" si="4"/>
        <v>GoldMetalor Technologies S.A.</v>
      </c>
    </row>
    <row r="13" spans="1:34" s="227" customFormat="1" ht="20.100000000000001" customHeight="1">
      <c r="A13" s="280" t="s">
        <v>762</v>
      </c>
      <c r="B13" s="182" t="s">
        <v>1120</v>
      </c>
      <c r="C13" s="186" t="s">
        <v>2128</v>
      </c>
      <c r="D13" s="230"/>
      <c r="E13" s="182" t="str">
        <f ca="1">IF(ISERROR($V13),"",OFFSET('Smelter Look-up'!$D$4,$V13-4,0)&amp;"")</f>
        <v>CHINA</v>
      </c>
      <c r="F13" s="182" t="str">
        <f ca="1">IF(ISERROR($V13),"",OFFSET('Smelter Look-up'!$E$4,$V13-4,0))</f>
        <v>CID000538</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25"/>
      <c r="R13" s="182" t="str">
        <f ca="1">IF(ISERROR($V13),"",OFFSET('Smelter Look-up'!$C$4,$V13-4,0)&amp;"")</f>
        <v>Gejiu Non-Ferrous Metal Processing Co., Ltd.</v>
      </c>
      <c r="S13" s="181" t="str">
        <f t="shared" ca="1" si="2"/>
        <v>CN</v>
      </c>
      <c r="T13" s="181" t="str">
        <f ca="1">IF(B13="","",IF(ISERROR(MATCH($J13,SorP!$B$1:$B$6226,0)),"",INDIRECT("'SorP'!$A$"&amp;MATCH($S13&amp;$J13,SorP!C:C,0))))</f>
        <v>CN-YN</v>
      </c>
      <c r="U13" s="201"/>
      <c r="V13" s="226">
        <f>IF(C13="",NA(),IF(OR(C13="Smelter not listed",C13="Smelter not yet identified"),MATCH($B13&amp;$D13,'Smelter Look-up'!$J:$J,0),MATCH($B13&amp;$C13,'Smelter Look-up'!$J:$J,0)))</f>
        <v>448</v>
      </c>
      <c r="X13" s="227">
        <f t="shared" ca="1" si="3"/>
        <v>0</v>
      </c>
      <c r="AB13" s="228" t="str">
        <f t="shared" si="4"/>
        <v>TinGejiu Non-Ferrous Metal Processing Co., Ltd.</v>
      </c>
    </row>
    <row r="14" spans="1:34" s="227" customFormat="1" ht="20.100000000000001" customHeight="1">
      <c r="A14" s="280" t="s">
        <v>722</v>
      </c>
      <c r="B14" s="182" t="s">
        <v>1119</v>
      </c>
      <c r="C14" s="186" t="s">
        <v>2144</v>
      </c>
      <c r="D14" s="230"/>
      <c r="E14" s="182" t="str">
        <f ca="1">IF(ISERROR($V14),"",OFFSET('Smelter Look-up'!$D$4,$V14-4,0)&amp;"")</f>
        <v>CHINA</v>
      </c>
      <c r="F14" s="182" t="str">
        <f ca="1">IF(ISERROR($V14),"",OFFSET('Smelter Look-up'!$E$4,$V14-4,0))</f>
        <v>CID001622</v>
      </c>
      <c r="G14" s="182" t="str">
        <f ca="1">IF(C14=$X$4,IF(ISERROR($V14),"Enter smelter details","RMI"),IF(ISERROR($V14),"",OFFSET('Smelter Look-up'!$F$4,$V14-4,0)))</f>
        <v>RMI</v>
      </c>
      <c r="H14" s="183">
        <f ca="1">IF(ISERROR($V14),"",OFFSET('Smelter Look-up'!$G$4,$V14-4,0))</f>
        <v>0</v>
      </c>
      <c r="I14" s="184" t="str">
        <f ca="1">IF(ISERROR($V14),"",OFFSET('Smelter Look-up'!$H$4,$V14-4,0))</f>
        <v>Zhaoyuan</v>
      </c>
      <c r="J14" s="184" t="str">
        <f ca="1">IF(ISERROR($V14),"",OFFSET('Smelter Look-up'!$I$4,$V14-4,0))</f>
        <v>Shandong Sheng</v>
      </c>
      <c r="K14" s="224"/>
      <c r="L14" s="224"/>
      <c r="M14" s="224"/>
      <c r="N14" s="224"/>
      <c r="O14" s="224"/>
      <c r="P14" s="185"/>
      <c r="Q14" s="225"/>
      <c r="R14" s="182" t="str">
        <f ca="1">IF(ISERROR($V14),"",OFFSET('Smelter Look-up'!$C$4,$V14-4,0)&amp;"")</f>
        <v>Shandong Zhaojin Gold &amp; Silver Refinery Co., Ltd.</v>
      </c>
      <c r="S14" s="181" t="str">
        <f t="shared" ca="1" si="2"/>
        <v>CN</v>
      </c>
      <c r="T14" s="181" t="str">
        <f ca="1">IF(B14="","",IF(ISERROR(MATCH($J14,SorP!$B$1:$B$6226,0)),"",INDIRECT("'SorP'!$A$"&amp;MATCH($S14&amp;$J14,SorP!C:C,0))))</f>
        <v>CN-SD</v>
      </c>
      <c r="U14" s="201"/>
      <c r="V14" s="226">
        <f>IF(C14="",NA(),IF(OR(C14="Smelter not listed",C14="Smelter not yet identified"),MATCH($B14&amp;$D14,'Smelter Look-up'!$J:$J,0),MATCH($B14&amp;$C14,'Smelter Look-up'!$J:$J,0)))</f>
        <v>256</v>
      </c>
      <c r="X14" s="227">
        <f t="shared" ca="1" si="3"/>
        <v>0</v>
      </c>
      <c r="AB14" s="228" t="str">
        <f t="shared" si="4"/>
        <v>GoldShandong Zhaojin Gold &amp; Silver Refinery Co., Ltd.</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EA33292-3ABC-44AA-AB15-E4722A8D0CF6}"/>
    </customSheetView>
  </customSheetViews>
  <mergeCells count="3">
    <mergeCell ref="J2:O2"/>
    <mergeCell ref="B3:E3"/>
    <mergeCell ref="G3:I3"/>
  </mergeCells>
  <conditionalFormatting sqref="B15:B2504">
    <cfRule type="expression" dxfId="27" priority="4" stopIfTrue="1">
      <formula>IF(B15="",TRUE)</formula>
    </cfRule>
    <cfRule type="expression" dxfId="26" priority="5" stopIfTrue="1">
      <formula>IF(AND(COUNTIF(MetalSmelter,B15&amp;C15)=0,LEN(C15)&gt;0),TRUE,FALSE)</formula>
    </cfRule>
  </conditionalFormatting>
  <conditionalFormatting sqref="C15:C2504">
    <cfRule type="expression" dxfId="25" priority="12" stopIfTrue="1">
      <formula>IF(AND(B15&lt;&gt;"",C15=""),TRUE)</formula>
    </cfRule>
  </conditionalFormatting>
  <conditionalFormatting sqref="D5:D2504">
    <cfRule type="expression" dxfId="24" priority="16" stopIfTrue="1">
      <formula>IF(AND(LEN($C5)&gt;0,AND($C5&lt;&gt;"Smelter Not Listed",ISBLANK($D5))),1,0)</formula>
    </cfRule>
    <cfRule type="expression" dxfId="23" priority="23" stopIfTrue="1">
      <formula>IF(AND(D5="",$C5=$X$4),TRUE)</formula>
    </cfRule>
    <cfRule type="expression" dxfId="22" priority="24" stopIfTrue="1">
      <formula>IF(FIND("!",D5),TRUE)</formula>
    </cfRule>
  </conditionalFormatting>
  <conditionalFormatting sqref="E5:E2504 R5:R2504">
    <cfRule type="expression" dxfId="21" priority="10" stopIfTrue="1">
      <formula>IF(AND(E5="",$C5=$X$4),TRUE)</formula>
    </cfRule>
    <cfRule type="expression" dxfId="20" priority="11" stopIfTrue="1">
      <formula>IF(FIND("!",E5),TRUE)</formula>
    </cfRule>
  </conditionalFormatting>
  <conditionalFormatting sqref="F5:F2504">
    <cfRule type="expression" dxfId="19" priority="8" stopIfTrue="1">
      <formula>IF(AND(LEN($A5)&gt;0,$A5&lt;&gt;$F5),TRUE,FALSE)</formula>
    </cfRule>
  </conditionalFormatting>
  <conditionalFormatting sqref="G5:G2504">
    <cfRule type="expression" dxfId="18" priority="25" stopIfTrue="1">
      <formula>IF(FIND("Enter smelter details",G5),TRUE)</formula>
    </cfRule>
  </conditionalFormatting>
  <conditionalFormatting sqref="B5:B14">
    <cfRule type="expression" dxfId="2" priority="2" stopIfTrue="1">
      <formula>IF(B5="",TRUE)</formula>
    </cfRule>
    <cfRule type="expression" dxfId="1" priority="3" stopIfTrue="1">
      <formula>IF(AND(COUNTIF(MetalSmelter,B5&amp;C5)=0,LEN(C5)&gt;0),TRUE,FALSE)</formula>
    </cfRule>
  </conditionalFormatting>
  <conditionalFormatting sqref="C5:C14">
    <cfRule type="expression" dxfId="0" priority="1"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9" stopIfTrue="1" id="{3A2C08C1-A3CB-4039-99D1-6146192A6F94}">
            <xm:f>IF(OR(AND(B15="Tantalum",Declaration!$P$38=""),AND(B15="Tin",Declaration!$P$39=""),AND(B15="Gold",Declaration!$P$40=""),AND(B15="Tungsten",Declaration!$P$41="")),TRUE,FALSE)</xm:f>
            <x14:dxf>
              <fill>
                <patternFill>
                  <bgColor rgb="FFFF0000"/>
                </patternFill>
              </fill>
            </x14:dxf>
          </x14:cfRule>
          <xm:sqref>B15:B2504</xm:sqref>
        </x14:conditionalFormatting>
        <x14:conditionalFormatting xmlns:xm="http://schemas.microsoft.com/office/excel/2006/main">
          <x14:cfRule type="expression" priority="7" stopIfTrue="1" id="{4DF03B03-3E0F-40B2-A5D1-B1DA6639A4FD}">
            <xm:f>IF(OR(AND(B15="Tantalum",Declaration!$P$38=""),AND(B15="Tin",Declaration!$P$39=""),AND(B15="Gold",Declaration!$P$40=""),AND(B15="Tungsten",Declaration!$P$41="")),TRUE,FALSE)</xm:f>
            <x14:dxf>
              <fill>
                <patternFill>
                  <bgColor rgb="FFFF0000"/>
                </patternFill>
              </fill>
            </x14:dxf>
          </x14:cfRule>
          <xm:sqref>C15:C2504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D12"/>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JQL Technologies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Declaration!D14</f>
        <v>Bradley Flaminio 1255 Armour Blvd, Mundelein, IL 60060</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Declaration!D15</f>
        <v>qa@jqltechnologies.com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Declaration!D16</f>
        <v>630.246.7833 x244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Bradley Flaminio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qa@jqltechnologies.com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45450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https://www.jqlelectronics.com/about/#serviceAndQuality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A5:A13">
    <cfRule type="expression" dxfId="12" priority="49" stopIfTrue="1">
      <formula>$F5=0</formula>
    </cfRule>
    <cfRule type="expression" dxfId="11" priority="50" stopIfTrue="1">
      <formula>AND($F5=1,$G5=0)</formula>
    </cfRule>
    <cfRule type="expression" dxfId="10" priority="51" stopIfTrue="1">
      <formula>AND($F5&lt;&gt;0,$G5&lt;&gt;0)</formula>
    </cfRule>
  </conditionalFormatting>
  <conditionalFormatting sqref="A29:A32">
    <cfRule type="expression" dxfId="9" priority="2" stopIfTrue="1">
      <formula>$F29=0</formula>
    </cfRule>
    <cfRule type="expression" dxfId="8" priority="3" stopIfTrue="1">
      <formula>$H29=0</formula>
    </cfRule>
    <cfRule type="expression" dxfId="7" priority="4" stopIfTrue="1">
      <formula>$H29=1</formula>
    </cfRule>
  </conditionalFormatting>
  <conditionalFormatting sqref="B65:B69">
    <cfRule type="expression" dxfId="6" priority="1" stopIfTrue="1">
      <formula>IF(F65=0,TRUE)</formula>
    </cfRule>
  </conditionalFormatting>
  <conditionalFormatting sqref="D56">
    <cfRule type="expression" dxfId="5"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888</v>
      </c>
      <c r="C4" s="396"/>
      <c r="D4" s="39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9" t="str">
        <f ca="1">OFFSET(L!$C$1,MATCH("General"&amp;"Cpy",L!$A:$A,0)-1,SL,,)</f>
        <v>© 2024 Responsible Minerals Initiative. All rights reserved.</v>
      </c>
      <c r="C2006" s="399"/>
      <c r="D2006" s="399"/>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80" activePane="bottomLeft" state="frozen"/>
      <selection activeCell="A4" sqref="A4"/>
      <selection pane="bottomLeft" activeCell="C92" sqref="C92"/>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4"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45AB1C7B5A4014C8FBFDCD7BB797921" ma:contentTypeVersion="6" ma:contentTypeDescription="Create a new document." ma:contentTypeScope="" ma:versionID="b8cdb179b03e7c40de08728d0a0eb27d">
  <xsd:schema xmlns:xsd="http://www.w3.org/2001/XMLSchema" xmlns:xs="http://www.w3.org/2001/XMLSchema" xmlns:p="http://schemas.microsoft.com/office/2006/metadata/properties" xmlns:ns2="6450cd44-dea0-4bf6-9cda-e07e61b0782d" xmlns:ns3="69574c5f-2846-4583-b234-3033f1c116d5" targetNamespace="http://schemas.microsoft.com/office/2006/metadata/properties" ma:root="true" ma:fieldsID="059f94de077d04c34137c9281db86b56" ns2:_="" ns3:_="">
    <xsd:import namespace="6450cd44-dea0-4bf6-9cda-e07e61b0782d"/>
    <xsd:import namespace="69574c5f-2846-4583-b234-3033f1c116d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50cd44-dea0-4bf6-9cda-e07e61b078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574c5f-2846-4583-b234-3033f1c116d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5414A9A4-1EF9-4E0D-BC87-F7468A95DE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50cd44-dea0-4bf6-9cda-e07e61b0782d"/>
    <ds:schemaRef ds:uri="69574c5f-2846-4583-b234-3033f1c116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QA</cp:lastModifiedBy>
  <cp:lastPrinted>2015-04-21T20:47:43Z</cp:lastPrinted>
  <dcterms:created xsi:type="dcterms:W3CDTF">2010-06-21T21:00:23Z</dcterms:created>
  <dcterms:modified xsi:type="dcterms:W3CDTF">2024-06-07T15:52:33Z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0x010100445AB1C7B5A4014C8FBFDCD7BB797921</vt:lpwstr>
  </property>
  <property fmtid="{D5CDD505-2E9C-101B-9397-08002B2CF9AE}" pid="4" name="Order">
    <vt:r8>100</vt:r8>
  </property>
</Properties>
</file>